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05" windowHeight="6180" activeTab="0"/>
  </bookViews>
  <sheets>
    <sheet name="Financial Assessment" sheetId="1" r:id="rId1"/>
    <sheet name="MLIAs" sheetId="2" state="hidden" r:id="rId2"/>
    <sheet name="Gtd Investments" sheetId="3" state="hidden" r:id="rId3"/>
    <sheet name="Assets Bill and Jane" sheetId="4" r:id="rId4"/>
    <sheet name="Assets Bill" sheetId="5" r:id="rId5"/>
    <sheet name="Assets Total" sheetId="6" r:id="rId6"/>
    <sheet name="OAS - Bill" sheetId="7" r:id="rId7"/>
    <sheet name="Taxable Income - Bill" sheetId="8" r:id="rId8"/>
    <sheet name="CPP Bill" sheetId="9" r:id="rId9"/>
    <sheet name="Income by Source" sheetId="10" r:id="rId10"/>
    <sheet name="Tax - Bill" sheetId="11" r:id="rId11"/>
    <sheet name="Expenses" sheetId="12" r:id="rId12"/>
    <sheet name="CPP" sheetId="13" state="hidden" r:id="rId13"/>
    <sheet name="Income Summary" sheetId="14" state="hidden" r:id="rId14"/>
    <sheet name="Net Income" sheetId="15" r:id="rId15"/>
    <sheet name="Income Graph" sheetId="16" r:id="rId16"/>
    <sheet name="Expense Graph" sheetId="17" r:id="rId17"/>
    <sheet name="Asset Graph" sheetId="18" r:id="rId18"/>
    <sheet name="Asset Change 2" sheetId="19" state="hidden" r:id="rId19"/>
    <sheet name="Asset Change" sheetId="20" r:id="rId20"/>
    <sheet name="Leila" sheetId="21" state="hidden" r:id="rId21"/>
  </sheets>
  <definedNames>
    <definedName name="_xlnm.Print_Area" localSheetId="4">'Assets Bill'!$A$1:$Z$44</definedName>
    <definedName name="_xlnm.Print_Area" localSheetId="3">'Assets Bill and Jane'!$A$1:$H$26</definedName>
    <definedName name="_xlnm.Print_Area" localSheetId="5">'Assets Total'!$A$1:$L$43</definedName>
    <definedName name="_xlnm.Print_Area" localSheetId="12">'CPP'!$A$1:$D$23</definedName>
    <definedName name="_xlnm.Print_Area" localSheetId="16">'Expense Graph'!$A$1:$L$22</definedName>
    <definedName name="_xlnm.Print_Area" localSheetId="11">'Expenses'!$A$1:$AM$46</definedName>
    <definedName name="_xlnm.Print_Area" localSheetId="0">'Financial Assessment'!$A$1:$C$38</definedName>
    <definedName name="_xlnm.Print_Area" localSheetId="9">'Income by Source'!$A$1:$K$42</definedName>
    <definedName name="_xlnm.Print_Area" localSheetId="15">'Income Graph'!$A$1:$L$21</definedName>
    <definedName name="_xlnm.Print_Area" localSheetId="13">'Income Summary'!$A$1:$C$28</definedName>
    <definedName name="_xlnm.Print_Area" localSheetId="20">'Leila'!$A$1:$I$35</definedName>
    <definedName name="_xlnm.Print_Area" localSheetId="14">'Net Income'!$A$1:$J$43</definedName>
    <definedName name="_xlnm.Print_Area" localSheetId="10">'Tax - Bill'!$A$1:$AM$46</definedName>
    <definedName name="_xlnm.Print_Area" localSheetId="7">'Taxable Income - Bill'!$A$1:$Q$45</definedName>
    <definedName name="_xlnm.Print_Titles" localSheetId="4">'Assets Bill'!$A:$C</definedName>
    <definedName name="_xlnm.Print_Titles" localSheetId="11">'Expenses'!$A:$C,'Expenses'!$1:$7</definedName>
    <definedName name="_xlnm.Print_Titles" localSheetId="2">'Gtd Investments'!$A:$A</definedName>
    <definedName name="_xlnm.Print_Titles" localSheetId="9">'Income by Source'!$1:$3</definedName>
    <definedName name="_xlnm.Print_Titles" localSheetId="6">'OAS - Bill'!$1:$5</definedName>
    <definedName name="_xlnm.Print_Titles" localSheetId="10">'Tax - Bill'!$A:$B</definedName>
  </definedNames>
  <calcPr fullCalcOnLoad="1"/>
</workbook>
</file>

<file path=xl/sharedStrings.xml><?xml version="1.0" encoding="utf-8"?>
<sst xmlns="http://schemas.openxmlformats.org/spreadsheetml/2006/main" count="872" uniqueCount="359">
  <si>
    <t>ASSETS</t>
  </si>
  <si>
    <t xml:space="preserve"> </t>
  </si>
  <si>
    <t>Total</t>
  </si>
  <si>
    <t>CSBs</t>
  </si>
  <si>
    <t xml:space="preserve">   S46</t>
  </si>
  <si>
    <t xml:space="preserve">   S47</t>
  </si>
  <si>
    <t xml:space="preserve">   S49</t>
  </si>
  <si>
    <t xml:space="preserve">   S50</t>
  </si>
  <si>
    <t xml:space="preserve">   S51</t>
  </si>
  <si>
    <t xml:space="preserve">   S52</t>
  </si>
  <si>
    <t>Maritime Life</t>
  </si>
  <si>
    <t>Royal Bank</t>
  </si>
  <si>
    <t>501-042-6</t>
  </si>
  <si>
    <t>01154 28</t>
  </si>
  <si>
    <t>Credit Union</t>
  </si>
  <si>
    <t>Shares</t>
  </si>
  <si>
    <t>82649-10-9</t>
  </si>
  <si>
    <t>82649-24-9</t>
  </si>
  <si>
    <t>Loan to Gayle &amp; Norm</t>
  </si>
  <si>
    <t>RRIF</t>
  </si>
  <si>
    <t>Total net of tax on RRIF</t>
  </si>
  <si>
    <t>Income</t>
  </si>
  <si>
    <t>Assets</t>
  </si>
  <si>
    <t>Year</t>
  </si>
  <si>
    <t>Age</t>
  </si>
  <si>
    <t>University</t>
  </si>
  <si>
    <t>Expenses</t>
  </si>
  <si>
    <t>CPP</t>
  </si>
  <si>
    <t>Insurance</t>
  </si>
  <si>
    <t xml:space="preserve">   P3</t>
  </si>
  <si>
    <t>Job</t>
  </si>
  <si>
    <t>Pension</t>
  </si>
  <si>
    <t>Equities</t>
  </si>
  <si>
    <t>Cheque</t>
  </si>
  <si>
    <t>Change</t>
  </si>
  <si>
    <t>Net</t>
  </si>
  <si>
    <t>Investment</t>
  </si>
  <si>
    <t>Taxes</t>
  </si>
  <si>
    <t>Growth A</t>
  </si>
  <si>
    <t>Canadian Equity A</t>
  </si>
  <si>
    <t>S&amp;P 500 A</t>
  </si>
  <si>
    <t>Units</t>
  </si>
  <si>
    <t>Price</t>
  </si>
  <si>
    <t>Value</t>
  </si>
  <si>
    <t>March 31, 2005</t>
  </si>
  <si>
    <t>December 31, 2004</t>
  </si>
  <si>
    <t>GIC (10320907)</t>
  </si>
  <si>
    <t>American Gr. &amp; Inc A</t>
  </si>
  <si>
    <t>S&amp;P 500A</t>
  </si>
  <si>
    <t>Non registered</t>
  </si>
  <si>
    <t>Group RRSP</t>
  </si>
  <si>
    <t>Canadian equity (a5)</t>
  </si>
  <si>
    <t>US equity (a6)</t>
  </si>
  <si>
    <t>Balanced (a7)</t>
  </si>
  <si>
    <t>ING savings</t>
  </si>
  <si>
    <t xml:space="preserve">        GIC</t>
  </si>
  <si>
    <t>BNS - chequing</t>
  </si>
  <si>
    <t xml:space="preserve">           Ultimate GIC</t>
  </si>
  <si>
    <t xml:space="preserve">        Katrina</t>
  </si>
  <si>
    <t>2004/2005 financial activity</t>
  </si>
  <si>
    <t>cash $23,279.22 of CSB S49 - deposit to BNS chequing</t>
  </si>
  <si>
    <t>Nov 03, 2004</t>
  </si>
  <si>
    <t>deposit $43,072.77 to CUA re maturity of CSB S47</t>
  </si>
  <si>
    <t>Nov 05, 2004</t>
  </si>
  <si>
    <t xml:space="preserve">trfr $30,000 to BNS </t>
  </si>
  <si>
    <t>Nov 08, 2004</t>
  </si>
  <si>
    <t>Dec 18, 2004</t>
  </si>
  <si>
    <t>purchase $40,000 ING GIC</t>
  </si>
  <si>
    <t>Dec 03, 2004</t>
  </si>
  <si>
    <t>deposit $21527.89 to CUA re maturity of CSB S50</t>
  </si>
  <si>
    <t xml:space="preserve">trfr $20,000 to BNS </t>
  </si>
  <si>
    <t>trfr $20,000 to ING</t>
  </si>
  <si>
    <t>Mar 28, 2005</t>
  </si>
  <si>
    <t>trfr $22,500 to BNS</t>
  </si>
  <si>
    <t>Mar 01, 2005</t>
  </si>
  <si>
    <t>Feb 02, 2005</t>
  </si>
  <si>
    <t>cash $27,969.83 of CSB S49 - deposit to BNS chequing</t>
  </si>
  <si>
    <t>Mar 29, 2005</t>
  </si>
  <si>
    <t>cash $15,538.80 of CSB S49 - deposit to BNS chequing</t>
  </si>
  <si>
    <t>cash $28,656.00 of CSB S52 - deposit to BNS chequing</t>
  </si>
  <si>
    <t>Apr 21, 2005</t>
  </si>
  <si>
    <t>$112,000.00 + $250.12 interest refunded re Maritime Life</t>
  </si>
  <si>
    <t>trfr from BNS $27,000 to ING</t>
  </si>
  <si>
    <t>Feb 03, 2005 - cheque # 036</t>
  </si>
  <si>
    <t>Feb 03. 2005 - cheque # 037</t>
  </si>
  <si>
    <t>Feb 14. 2005 - cheque # 043</t>
  </si>
  <si>
    <t>$7,500 to Maritime Life from CUA</t>
  </si>
  <si>
    <t>$10,000 to Maritime Life from CUA</t>
  </si>
  <si>
    <t>$10,000 to Katrina from BNS</t>
  </si>
  <si>
    <t>$10,000 to Maritime Life from BNS</t>
  </si>
  <si>
    <t>$2,500 to Maritime Life from BNS</t>
  </si>
  <si>
    <t>Mar 03, 2005 - cheque # 044</t>
  </si>
  <si>
    <t>Feb 21, 2005 - cheque # 098</t>
  </si>
  <si>
    <t>Mar 15, 2005 - cheque # 046</t>
  </si>
  <si>
    <t>Mar 31, 2005 - cheque # 048</t>
  </si>
  <si>
    <t>$72,000 to Maritime Life from BNS</t>
  </si>
  <si>
    <t>Owed by Gayle &amp; Norm</t>
  </si>
  <si>
    <t>Jan 19, 2004 - cheque # 094</t>
  </si>
  <si>
    <t>Inflation assumption</t>
  </si>
  <si>
    <t>Apr - Jun</t>
  </si>
  <si>
    <t>Jul - Sep</t>
  </si>
  <si>
    <t>Oct - Dec</t>
  </si>
  <si>
    <t>Jan - Mar</t>
  </si>
  <si>
    <t>Quarter</t>
  </si>
  <si>
    <t>(1)</t>
  </si>
  <si>
    <t>(2)</t>
  </si>
  <si>
    <t>(1) + (2)</t>
  </si>
  <si>
    <t>(3)</t>
  </si>
  <si>
    <t>(4)</t>
  </si>
  <si>
    <t>(5)</t>
  </si>
  <si>
    <t>(6)</t>
  </si>
  <si>
    <t>(7)</t>
  </si>
  <si>
    <t>(8)</t>
  </si>
  <si>
    <t>(9)</t>
  </si>
  <si>
    <t>Line 113</t>
  </si>
  <si>
    <t>OAS</t>
  </si>
  <si>
    <t>Supplements</t>
  </si>
  <si>
    <t>Line 146</t>
  </si>
  <si>
    <t>Monthly</t>
  </si>
  <si>
    <t>Benefit</t>
  </si>
  <si>
    <t>Quarterly</t>
  </si>
  <si>
    <t>Overpayment of</t>
  </si>
  <si>
    <t>OAS recovered</t>
  </si>
  <si>
    <t>Line 324</t>
  </si>
  <si>
    <t>Net Income</t>
  </si>
  <si>
    <t>Base</t>
  </si>
  <si>
    <t>Amount</t>
  </si>
  <si>
    <t>(6) - (7)</t>
  </si>
  <si>
    <t>(3) - (4)</t>
  </si>
  <si>
    <t>0.15 x (8)</t>
  </si>
  <si>
    <t>Minimum</t>
  </si>
  <si>
    <t>(5) or (9)</t>
  </si>
  <si>
    <t>(10)</t>
  </si>
  <si>
    <t>Bonus</t>
  </si>
  <si>
    <t>Repay</t>
  </si>
  <si>
    <t>Registered</t>
  </si>
  <si>
    <t>Taxable</t>
  </si>
  <si>
    <t>Tax</t>
  </si>
  <si>
    <t>Personal</t>
  </si>
  <si>
    <t>EI</t>
  </si>
  <si>
    <t>Donation</t>
  </si>
  <si>
    <t>Credit</t>
  </si>
  <si>
    <t>Tax Credits</t>
  </si>
  <si>
    <t xml:space="preserve">Federal </t>
  </si>
  <si>
    <t>Provincial</t>
  </si>
  <si>
    <t>Spousal</t>
  </si>
  <si>
    <t xml:space="preserve">Spousal </t>
  </si>
  <si>
    <t xml:space="preserve">Tax / </t>
  </si>
  <si>
    <t>Taxes /</t>
  </si>
  <si>
    <t>Surtax</t>
  </si>
  <si>
    <t>Available Funds</t>
  </si>
  <si>
    <t>NR + 50 % of R</t>
  </si>
  <si>
    <t>Client Data</t>
  </si>
  <si>
    <t>Name of client:</t>
  </si>
  <si>
    <t>Effective date of calculation:</t>
  </si>
  <si>
    <t>Annual income:</t>
  </si>
  <si>
    <t>Termination of income:</t>
  </si>
  <si>
    <t>Name of spouse:</t>
  </si>
  <si>
    <t>Name(s) and age(s) of child(ren)</t>
  </si>
  <si>
    <t xml:space="preserve">       Non-registered</t>
  </si>
  <si>
    <t xml:space="preserve">       Registered</t>
  </si>
  <si>
    <t>Economic and Tax Assumptions</t>
  </si>
  <si>
    <t>Federal tax bracket change</t>
  </si>
  <si>
    <t>Provincial tax bracket change</t>
  </si>
  <si>
    <t>OAS inflation assumption</t>
  </si>
  <si>
    <t>CPP inflation assumption</t>
  </si>
  <si>
    <t>Pension inflation assumption</t>
  </si>
  <si>
    <t>Mortgage</t>
  </si>
  <si>
    <t>House</t>
  </si>
  <si>
    <t>Auto</t>
  </si>
  <si>
    <t>Food</t>
  </si>
  <si>
    <t>Clothing</t>
  </si>
  <si>
    <t>Heat</t>
  </si>
  <si>
    <t>Power</t>
  </si>
  <si>
    <t>Water</t>
  </si>
  <si>
    <t>Life</t>
  </si>
  <si>
    <t>RRSPs</t>
  </si>
  <si>
    <t>Child</t>
  </si>
  <si>
    <t>Care</t>
  </si>
  <si>
    <t>Vacations</t>
  </si>
  <si>
    <t>Bank</t>
  </si>
  <si>
    <t>Loans</t>
  </si>
  <si>
    <t>Dues</t>
  </si>
  <si>
    <t>Home</t>
  </si>
  <si>
    <t>Charitable</t>
  </si>
  <si>
    <t>Inflation assumption:</t>
  </si>
  <si>
    <t>Restaurants</t>
  </si>
  <si>
    <t>Other</t>
  </si>
  <si>
    <t>Computer</t>
  </si>
  <si>
    <t>Expense increase</t>
  </si>
  <si>
    <t>TV Phone</t>
  </si>
  <si>
    <t>Cell</t>
  </si>
  <si>
    <t>CPP Assignment</t>
  </si>
  <si>
    <t>OAS benefit net of clawback</t>
  </si>
  <si>
    <t>Gtd</t>
  </si>
  <si>
    <t>Equity</t>
  </si>
  <si>
    <t>Return on guaranteed assets</t>
  </si>
  <si>
    <t>Return on equity assets</t>
  </si>
  <si>
    <t xml:space="preserve">Net </t>
  </si>
  <si>
    <t>Guaranteed Investments</t>
  </si>
  <si>
    <t>Mar 2, 2004</t>
  </si>
  <si>
    <t>Mar 29, 2004</t>
  </si>
  <si>
    <t>Jan 17, 2005</t>
  </si>
  <si>
    <t>Weighted</t>
  </si>
  <si>
    <t>Oct 12, 2004</t>
  </si>
  <si>
    <t>Liabilities</t>
  </si>
  <si>
    <t xml:space="preserve">   House</t>
  </si>
  <si>
    <t>Bank loan</t>
  </si>
  <si>
    <t>Vehicle loans</t>
  </si>
  <si>
    <t>Credit cards (netted off assets)</t>
  </si>
  <si>
    <t>Annual</t>
  </si>
  <si>
    <t>Maintenance</t>
  </si>
  <si>
    <t>Utilities</t>
  </si>
  <si>
    <t>Children</t>
  </si>
  <si>
    <t xml:space="preserve">  </t>
  </si>
  <si>
    <t>RESP</t>
  </si>
  <si>
    <t>Leisure</t>
  </si>
  <si>
    <t>Entertainment</t>
  </si>
  <si>
    <t>RRSP</t>
  </si>
  <si>
    <t>Fuel / Tolls</t>
  </si>
  <si>
    <t>Animals</t>
  </si>
  <si>
    <t>Source of Income</t>
  </si>
  <si>
    <t>Employment income</t>
  </si>
  <si>
    <t>CPP - age 65</t>
  </si>
  <si>
    <t>Pension benefits - age 60</t>
  </si>
  <si>
    <t>at 65</t>
  </si>
  <si>
    <t>OAS - at age 65</t>
  </si>
  <si>
    <t>CPP Benefit Impact</t>
  </si>
  <si>
    <t>Contributory period</t>
  </si>
  <si>
    <t xml:space="preserve">     Start</t>
  </si>
  <si>
    <t xml:space="preserve">     Age 65</t>
  </si>
  <si>
    <t xml:space="preserve">     Year of birth</t>
  </si>
  <si>
    <t xml:space="preserve">    Years</t>
  </si>
  <si>
    <t>general dropout</t>
  </si>
  <si>
    <t>child rearing dropout</t>
  </si>
  <si>
    <t>Pension base</t>
  </si>
  <si>
    <t>Actual credits</t>
  </si>
  <si>
    <t xml:space="preserve">   Start</t>
  </si>
  <si>
    <t xml:space="preserve">   Contributions to</t>
  </si>
  <si>
    <t xml:space="preserve">   Years</t>
  </si>
  <si>
    <t>% pension due</t>
  </si>
  <si>
    <t>Time</t>
  </si>
  <si>
    <t>Age expenses reduce</t>
  </si>
  <si>
    <t>Amount expenses reduce</t>
  </si>
  <si>
    <t>Surr</t>
  </si>
  <si>
    <t>Age of client at effective date:</t>
  </si>
  <si>
    <t>Age of spouse at effective date:</t>
  </si>
  <si>
    <t>Financial Data - Income</t>
  </si>
  <si>
    <t>Health</t>
  </si>
  <si>
    <t>Required</t>
  </si>
  <si>
    <t>Factor</t>
  </si>
  <si>
    <t>Payment</t>
  </si>
  <si>
    <t>to spouse</t>
  </si>
  <si>
    <t>from spouse</t>
  </si>
  <si>
    <t>Taxable income for</t>
  </si>
  <si>
    <t>Taxes -</t>
  </si>
  <si>
    <t>Inheritance - you - 2005</t>
  </si>
  <si>
    <t>Non Ref</t>
  </si>
  <si>
    <t>Donate</t>
  </si>
  <si>
    <t>Dec 31, 2005</t>
  </si>
  <si>
    <t>Norm</t>
  </si>
  <si>
    <t>Paul</t>
  </si>
  <si>
    <t>Katrina</t>
  </si>
  <si>
    <t>Bond A</t>
  </si>
  <si>
    <t>Gayle</t>
  </si>
  <si>
    <t>Discovery A</t>
  </si>
  <si>
    <t>Mar 29, 2009</t>
  </si>
  <si>
    <t>Mar 02, 2009</t>
  </si>
  <si>
    <t>Feb 28, 2006</t>
  </si>
  <si>
    <t>Feb 28, 06</t>
  </si>
  <si>
    <t>Jun 30, 2006</t>
  </si>
  <si>
    <t>December 31, 2006</t>
  </si>
  <si>
    <t>June 2007</t>
  </si>
  <si>
    <t>Jul 31, 2006</t>
  </si>
  <si>
    <t>Money market (a6)</t>
  </si>
  <si>
    <t>Jul 31, 08</t>
  </si>
  <si>
    <t>Jul 31, 10</t>
  </si>
  <si>
    <t>Phones</t>
  </si>
  <si>
    <t>Jane</t>
  </si>
  <si>
    <t>children have left home</t>
  </si>
  <si>
    <t>Smith</t>
  </si>
  <si>
    <t>Jane Smith</t>
  </si>
  <si>
    <t>to be paid off in two years</t>
  </si>
  <si>
    <t>to be paid off in five years</t>
  </si>
  <si>
    <t>Payments</t>
  </si>
  <si>
    <t>Bill</t>
  </si>
  <si>
    <t>&lt;18</t>
  </si>
  <si>
    <t>Contribution</t>
  </si>
  <si>
    <t>Donations</t>
  </si>
  <si>
    <t>Non tax inv income</t>
  </si>
  <si>
    <t>Total income</t>
  </si>
  <si>
    <t>Income excl         Inv Inc</t>
  </si>
  <si>
    <t>Collins Financial Consulting</t>
  </si>
  <si>
    <t>Jan 01</t>
  </si>
  <si>
    <t>Income, Expenses and Asset Impact by Year</t>
  </si>
  <si>
    <t>Jan 1, 1966</t>
  </si>
  <si>
    <t>Month turned 18</t>
  </si>
  <si>
    <t>A</t>
  </si>
  <si>
    <t>B</t>
  </si>
  <si>
    <t>Later of (A) and (B)</t>
  </si>
  <si>
    <t>Maximum CPP</t>
  </si>
  <si>
    <t>Retire at 65</t>
  </si>
  <si>
    <t>Retire today</t>
  </si>
  <si>
    <t>less general drop-out</t>
  </si>
  <si>
    <t>Maximum Pensionable Earnings</t>
  </si>
  <si>
    <t>Actual</t>
  </si>
  <si>
    <t>Maximum</t>
  </si>
  <si>
    <t>If 65 today</t>
  </si>
  <si>
    <r>
      <t xml:space="preserve">The forecast assumptions are as presented below.  In all cases the assumptions were provided by the clients, Bill and Jane Smith.  </t>
    </r>
    <r>
      <rPr>
        <b/>
        <sz val="11"/>
        <color indexed="21"/>
        <rFont val="Arial"/>
        <family val="2"/>
      </rPr>
      <t>Collins Financial Consulting</t>
    </r>
    <r>
      <rPr>
        <sz val="11"/>
        <rFont val="Arial"/>
        <family val="2"/>
      </rPr>
      <t xml:space="preserve"> does not recommend or advise as to any particular assumption with respect to interest rates, tax rates or any other financial/economic factor relevant to this plan.  Rather the plan is provided to present the implications of the assumptions chosen by the client, and sensitivities to those assumptions.</t>
    </r>
  </si>
  <si>
    <t xml:space="preserve">   Vehicle</t>
  </si>
  <si>
    <t>Non Registered</t>
  </si>
  <si>
    <t>Total Assets</t>
  </si>
  <si>
    <t>Assets by Year</t>
  </si>
  <si>
    <t>Asset Impact</t>
  </si>
  <si>
    <t>Expenses          incl RRSP</t>
  </si>
  <si>
    <t>Bill Smith</t>
  </si>
  <si>
    <t>Employment</t>
  </si>
  <si>
    <t>Income Tax</t>
  </si>
  <si>
    <t>Income by Source</t>
  </si>
  <si>
    <t>Non Registered Inv Income</t>
  </si>
  <si>
    <t>Bill's</t>
  </si>
  <si>
    <r>
      <t xml:space="preserve">This Financial Plan was prepared at the request of and for </t>
    </r>
    <r>
      <rPr>
        <b/>
        <sz val="11"/>
        <rFont val="Arial"/>
        <family val="2"/>
      </rPr>
      <t>Bill and Jane Smith</t>
    </r>
    <r>
      <rPr>
        <sz val="11"/>
        <rFont val="Arial"/>
        <family val="2"/>
      </rPr>
      <t xml:space="preserve"> on January 1, 2009.</t>
    </r>
  </si>
  <si>
    <r>
      <t>C</t>
    </r>
    <r>
      <rPr>
        <b/>
        <sz val="14"/>
        <color indexed="9"/>
        <rFont val="Arial"/>
        <family val="2"/>
      </rPr>
      <t xml:space="preserve">ollins </t>
    </r>
    <r>
      <rPr>
        <b/>
        <sz val="16"/>
        <color indexed="9"/>
        <rFont val="Arial"/>
        <family val="2"/>
      </rPr>
      <t>F</t>
    </r>
    <r>
      <rPr>
        <b/>
        <sz val="14"/>
        <color indexed="9"/>
        <rFont val="Arial"/>
        <family val="2"/>
      </rPr>
      <t xml:space="preserve">inancial </t>
    </r>
    <r>
      <rPr>
        <b/>
        <sz val="16"/>
        <color indexed="9"/>
        <rFont val="Arial"/>
        <family val="2"/>
      </rPr>
      <t>C</t>
    </r>
    <r>
      <rPr>
        <b/>
        <sz val="14"/>
        <color indexed="9"/>
        <rFont val="Arial"/>
        <family val="2"/>
      </rPr>
      <t>onsulting</t>
    </r>
  </si>
  <si>
    <t>Dec 31, 2008</t>
  </si>
  <si>
    <t>Jan - Mar 2009</t>
  </si>
  <si>
    <t>.</t>
  </si>
  <si>
    <t>Jan 1973</t>
  </si>
  <si>
    <t>Jan - Mar 2009 OAS benefit</t>
  </si>
  <si>
    <t>DO</t>
  </si>
  <si>
    <t>Credits</t>
  </si>
  <si>
    <t>Maximum forecast to age 65 at:</t>
  </si>
  <si>
    <t>Forecast CPP if age 65 today</t>
  </si>
  <si>
    <t>Per statement</t>
  </si>
  <si>
    <t>CPP at reduced commencement age</t>
  </si>
  <si>
    <t>CPP to commence at age:</t>
  </si>
  <si>
    <t>Age married</t>
  </si>
  <si>
    <t>Proportion of life married</t>
  </si>
  <si>
    <t>with drop-out</t>
  </si>
  <si>
    <t>CPP - Bill</t>
  </si>
  <si>
    <t>Retire at 62</t>
  </si>
  <si>
    <t>Forecast CPP at age 62</t>
  </si>
  <si>
    <t>Gtees</t>
  </si>
  <si>
    <t>Total Registered</t>
  </si>
  <si>
    <t>SERP</t>
  </si>
  <si>
    <t>PLC (Personal Line of Credit)</t>
  </si>
  <si>
    <t>Credit card balances</t>
  </si>
  <si>
    <t>Total non registered</t>
  </si>
  <si>
    <t>% Gtee</t>
  </si>
  <si>
    <t>Dec 2008</t>
  </si>
  <si>
    <t>Dec 31</t>
  </si>
  <si>
    <t>Gifts</t>
  </si>
  <si>
    <t>32.1 % of maximum $908.75</t>
  </si>
  <si>
    <t>Forecasted CPP benefit - Jane age 61</t>
  </si>
  <si>
    <t>Forecasted CPP benefit - Bill at age 63</t>
  </si>
  <si>
    <t>Retire at 63</t>
  </si>
  <si>
    <t>90.5 % of maximum $908.75</t>
  </si>
  <si>
    <t>TFSA</t>
  </si>
  <si>
    <t>Non Reg</t>
  </si>
  <si>
    <t>Inv Income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</si>
</sst>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;\-&quot;$&quot;#,##0.0"/>
    <numFmt numFmtId="173" formatCode="&quot;$&quot;#,##0.0_);\(&quot;$&quot;#,##0.0\)"/>
    <numFmt numFmtId="174" formatCode="&quot;$&quot;#,##0.000_);\(&quot;$&quot;#,##0.000\)"/>
    <numFmt numFmtId="175" formatCode="0.0%"/>
    <numFmt numFmtId="176" formatCode="#,##0.000000"/>
    <numFmt numFmtId="177" formatCode="&quot;$&quot;#,##0.0000_);\(&quot;$&quot;#,##0.0000\)"/>
    <numFmt numFmtId="178" formatCode="#,##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(* #,##0.00000_);_(* \(#,##0.00000\);_(* &quot;-&quot;?????_);_(@_)"/>
    <numFmt numFmtId="183" formatCode="0.000%"/>
    <numFmt numFmtId="184" formatCode="0.0"/>
    <numFmt numFmtId="185" formatCode="_(* #,##0.0000_);_(* \(#,##0.0000\);_(* &quot;-&quot;????_);_(@_)"/>
    <numFmt numFmtId="186" formatCode="&quot;$&quot;#,##0.00"/>
    <numFmt numFmtId="187" formatCode="&quot;$&quot;#,##0.0"/>
    <numFmt numFmtId="188" formatCode="&quot;$&quot;#,##0"/>
    <numFmt numFmtId="189" formatCode="0.000"/>
    <numFmt numFmtId="190" formatCode="0.0000"/>
    <numFmt numFmtId="191" formatCode="0.00000"/>
    <numFmt numFmtId="192" formatCode="&quot;$&quot;#,##0.00000_);\(&quot;$&quot;#,##0.00000\)"/>
    <numFmt numFmtId="193" formatCode="0.0000000"/>
    <numFmt numFmtId="194" formatCode="0.000000"/>
    <numFmt numFmtId="195" formatCode="&quot;$&quot;#,##0.000000_);\(&quot;$&quot;#,##0.000000\)"/>
    <numFmt numFmtId="196" formatCode="&quot;$&quot;#,##0.0000000_);\(&quot;$&quot;#,##0.0000000\)"/>
    <numFmt numFmtId="197" formatCode="_-* #,##0.000000_-;\-* #,##0.000000_-;_-* &quot;-&quot;??_-;_-@_-"/>
    <numFmt numFmtId="198" formatCode="_-* #,##0.0_-;\-* #,##0.0_-;_-* &quot;-&quot;??_-;_-@_-"/>
    <numFmt numFmtId="199" formatCode="_-* #,##0_-;\-* #,##0_-;_-* &quot;-&quot;??_-;_-@_-"/>
    <numFmt numFmtId="200" formatCode="&quot;$&quot;#,##0.000;\-&quot;$&quot;#,##0.000"/>
    <numFmt numFmtId="201" formatCode="&quot;$&quot;#,##0.0000;\-&quot;$&quot;#,##0.0000"/>
    <numFmt numFmtId="202" formatCode="#,##0.000"/>
    <numFmt numFmtId="203" formatCode="#,##0.000000000000"/>
    <numFmt numFmtId="204" formatCode="#,##0.00000"/>
    <numFmt numFmtId="205" formatCode="#,##0.0"/>
    <numFmt numFmtId="206" formatCode="0.00_ ;\-0.00\ "/>
    <numFmt numFmtId="207" formatCode="0.0_ ;\-0.0\ "/>
    <numFmt numFmtId="208" formatCode="0_ ;\-0\ "/>
    <numFmt numFmtId="209" formatCode="0.00000000"/>
    <numFmt numFmtId="210" formatCode="0.000000000"/>
    <numFmt numFmtId="211" formatCode="&quot;$&quot;#,##0.00000;\-&quot;$&quot;#,##0.00000"/>
    <numFmt numFmtId="212" formatCode="_-* #,##0.0_-;\-* #,##0.0_-;_-* &quot;-&quot;?_-;_-@_-"/>
    <numFmt numFmtId="213" formatCode="_(* #,##0.0_);_(* \(#,##0.0\);_(* &quot;-&quot;??_);_(@_)"/>
    <numFmt numFmtId="214" formatCode="_(* #,##0_);_(* \(#,##0\);_(* &quot;-&quot;??_);_(@_)"/>
    <numFmt numFmtId="215" formatCode="_-* #,##0.000_-;\-* #,##0.000_-;_-* &quot;-&quot;?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24.25"/>
      <name val="Arial"/>
      <family val="0"/>
    </font>
    <font>
      <sz val="20.25"/>
      <name val="Arial"/>
      <family val="0"/>
    </font>
    <font>
      <b/>
      <sz val="20.25"/>
      <name val="Arial"/>
      <family val="0"/>
    </font>
    <font>
      <b/>
      <sz val="24"/>
      <name val="Arial"/>
      <family val="0"/>
    </font>
    <font>
      <b/>
      <sz val="19.25"/>
      <name val="Arial"/>
      <family val="0"/>
    </font>
    <font>
      <sz val="20"/>
      <name val="Arial"/>
      <family val="0"/>
    </font>
    <font>
      <sz val="10.75"/>
      <name val="Arial"/>
      <family val="2"/>
    </font>
    <font>
      <b/>
      <sz val="18.75"/>
      <name val="Arial"/>
      <family val="0"/>
    </font>
    <font>
      <b/>
      <sz val="4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sz val="2"/>
      <name val="Arial"/>
      <family val="2"/>
    </font>
    <font>
      <b/>
      <sz val="11"/>
      <color indexed="10"/>
      <name val="Arial"/>
      <family val="2"/>
    </font>
    <font>
      <sz val="9.75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0"/>
      <color indexed="21"/>
      <name val="Arial"/>
      <family val="2"/>
    </font>
    <font>
      <b/>
      <sz val="11"/>
      <color indexed="21"/>
      <name val="Arial"/>
      <family val="2"/>
    </font>
    <font>
      <sz val="16"/>
      <color indexed="2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b/>
      <sz val="11"/>
      <color indexed="9"/>
      <name val="Arial"/>
      <family val="2"/>
    </font>
    <font>
      <sz val="12"/>
      <color indexed="23"/>
      <name val="Arial"/>
      <family val="2"/>
    </font>
    <font>
      <u val="single"/>
      <sz val="10"/>
      <color indexed="12"/>
      <name val="Arial"/>
      <family val="0"/>
    </font>
    <font>
      <sz val="12"/>
      <color indexed="12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4" fillId="0" borderId="0" xfId="0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7" fontId="4" fillId="0" borderId="0" xfId="0" applyNumberFormat="1" applyFont="1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 quotePrefix="1">
      <alignment horizontal="left"/>
    </xf>
    <xf numFmtId="7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Alignment="1">
      <alignment/>
    </xf>
    <xf numFmtId="183" fontId="4" fillId="0" borderId="0" xfId="20" applyNumberFormat="1" applyFont="1" applyAlignment="1">
      <alignment/>
    </xf>
    <xf numFmtId="7" fontId="4" fillId="2" borderId="0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7" fontId="4" fillId="0" borderId="7" xfId="0" applyNumberFormat="1" applyFont="1" applyBorder="1" applyAlignment="1">
      <alignment/>
    </xf>
    <xf numFmtId="7" fontId="4" fillId="2" borderId="7" xfId="0" applyNumberFormat="1" applyFont="1" applyFill="1" applyBorder="1" applyAlignment="1">
      <alignment/>
    </xf>
    <xf numFmtId="7" fontId="4" fillId="0" borderId="8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83" fontId="4" fillId="0" borderId="2" xfId="2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83" fontId="4" fillId="0" borderId="0" xfId="2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9" fontId="4" fillId="0" borderId="0" xfId="20" applyFont="1" applyBorder="1" applyAlignment="1">
      <alignment/>
    </xf>
    <xf numFmtId="166" fontId="4" fillId="0" borderId="3" xfId="0" applyNumberFormat="1" applyFont="1" applyBorder="1" applyAlignment="1">
      <alignment/>
    </xf>
    <xf numFmtId="183" fontId="4" fillId="0" borderId="4" xfId="2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7" fontId="4" fillId="3" borderId="7" xfId="0" applyNumberFormat="1" applyFont="1" applyFill="1" applyBorder="1" applyAlignment="1">
      <alignment/>
    </xf>
    <xf numFmtId="7" fontId="4" fillId="0" borderId="7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10" fontId="5" fillId="0" borderId="0" xfId="2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 quotePrefix="1">
      <alignment horizontal="centerContinuous"/>
    </xf>
    <xf numFmtId="0" fontId="6" fillId="0" borderId="2" xfId="0" applyFont="1" applyBorder="1" applyAlignment="1">
      <alignment horizontal="centerContinuous"/>
    </xf>
    <xf numFmtId="15" fontId="6" fillId="0" borderId="2" xfId="0" applyNumberFormat="1" applyFont="1" applyBorder="1" applyAlignment="1" quotePrefix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5" fontId="6" fillId="0" borderId="0" xfId="2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66" fontId="7" fillId="4" borderId="10" xfId="0" applyNumberFormat="1" applyFont="1" applyFill="1" applyBorder="1" applyAlignment="1">
      <alignment/>
    </xf>
    <xf numFmtId="166" fontId="7" fillId="4" borderId="5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66" fontId="6" fillId="0" borderId="13" xfId="0" applyNumberFormat="1" applyFont="1" applyBorder="1" applyAlignment="1">
      <alignment/>
    </xf>
    <xf numFmtId="183" fontId="6" fillId="0" borderId="0" xfId="20" applyNumberFormat="1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7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7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95" fontId="6" fillId="0" borderId="0" xfId="20" applyNumberFormat="1" applyFont="1" applyBorder="1" applyAlignment="1">
      <alignment/>
    </xf>
    <xf numFmtId="181" fontId="6" fillId="0" borderId="0" xfId="15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0" fontId="6" fillId="5" borderId="0" xfId="0" applyFont="1" applyFill="1" applyAlignment="1">
      <alignment/>
    </xf>
    <xf numFmtId="166" fontId="6" fillId="5" borderId="0" xfId="0" applyNumberFormat="1" applyFont="1" applyFill="1" applyAlignment="1">
      <alignment/>
    </xf>
    <xf numFmtId="166" fontId="6" fillId="5" borderId="12" xfId="0" applyNumberFormat="1" applyFont="1" applyFill="1" applyBorder="1" applyAlignment="1">
      <alignment/>
    </xf>
    <xf numFmtId="0" fontId="6" fillId="5" borderId="12" xfId="0" applyFont="1" applyFill="1" applyBorder="1" applyAlignment="1">
      <alignment/>
    </xf>
    <xf numFmtId="175" fontId="4" fillId="0" borderId="0" xfId="20" applyNumberFormat="1" applyFont="1" applyAlignment="1">
      <alignment/>
    </xf>
    <xf numFmtId="10" fontId="6" fillId="0" borderId="0" xfId="20" applyNumberFormat="1" applyFont="1" applyAlignment="1">
      <alignment/>
    </xf>
    <xf numFmtId="181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83" fontId="5" fillId="0" borderId="12" xfId="2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5" fontId="4" fillId="0" borderId="0" xfId="0" applyNumberFormat="1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6" xfId="0" applyFont="1" applyBorder="1" applyAlignment="1" quotePrefix="1">
      <alignment/>
    </xf>
    <xf numFmtId="15" fontId="4" fillId="0" borderId="3" xfId="0" applyNumberFormat="1" applyFont="1" applyBorder="1" applyAlignment="1" quotePrefix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6" fontId="4" fillId="0" borderId="1" xfId="0" applyNumberFormat="1" applyFont="1" applyBorder="1" applyAlignment="1" quotePrefix="1">
      <alignment/>
    </xf>
    <xf numFmtId="0" fontId="4" fillId="0" borderId="3" xfId="0" applyFont="1" applyBorder="1" applyAlignment="1" quotePrefix="1">
      <alignment/>
    </xf>
    <xf numFmtId="0" fontId="4" fillId="0" borderId="4" xfId="0" applyFont="1" applyBorder="1" applyAlignment="1" quotePrefix="1">
      <alignment/>
    </xf>
    <xf numFmtId="15" fontId="4" fillId="0" borderId="6" xfId="0" applyNumberFormat="1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4" fillId="0" borderId="11" xfId="0" applyFont="1" applyBorder="1" applyAlignment="1" quotePrefix="1">
      <alignment/>
    </xf>
    <xf numFmtId="15" fontId="4" fillId="0" borderId="0" xfId="0" applyNumberFormat="1" applyFont="1" applyBorder="1" applyAlignment="1" quotePrefix="1">
      <alignment/>
    </xf>
    <xf numFmtId="7" fontId="4" fillId="0" borderId="8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11" xfId="0" applyFont="1" applyFill="1" applyBorder="1" applyAlignment="1" quotePrefix="1">
      <alignment horizontal="left"/>
    </xf>
    <xf numFmtId="7" fontId="4" fillId="6" borderId="12" xfId="0" applyNumberFormat="1" applyFont="1" applyFill="1" applyBorder="1" applyAlignment="1">
      <alignment/>
    </xf>
    <xf numFmtId="7" fontId="4" fillId="6" borderId="14" xfId="0" applyNumberFormat="1" applyFont="1" applyFill="1" applyBorder="1" applyAlignment="1">
      <alignment/>
    </xf>
    <xf numFmtId="7" fontId="5" fillId="6" borderId="14" xfId="0" applyNumberFormat="1" applyFont="1" applyFill="1" applyBorder="1" applyAlignment="1">
      <alignment/>
    </xf>
    <xf numFmtId="17" fontId="8" fillId="7" borderId="2" xfId="0" applyNumberFormat="1" applyFont="1" applyFill="1" applyBorder="1" applyAlignment="1">
      <alignment horizontal="center"/>
    </xf>
    <xf numFmtId="17" fontId="5" fillId="7" borderId="2" xfId="0" applyNumberFormat="1" applyFont="1" applyFill="1" applyBorder="1" applyAlignment="1">
      <alignment horizontal="center"/>
    </xf>
    <xf numFmtId="17" fontId="5" fillId="7" borderId="15" xfId="0" applyNumberFormat="1" applyFont="1" applyFill="1" applyBorder="1" applyAlignment="1">
      <alignment horizontal="center"/>
    </xf>
    <xf numFmtId="15" fontId="4" fillId="8" borderId="11" xfId="0" applyNumberFormat="1" applyFont="1" applyFill="1" applyBorder="1" applyAlignment="1" quotePrefix="1">
      <alignment/>
    </xf>
    <xf numFmtId="0" fontId="4" fillId="8" borderId="12" xfId="0" applyFont="1" applyFill="1" applyBorder="1" applyAlignment="1">
      <alignment/>
    </xf>
    <xf numFmtId="7" fontId="4" fillId="8" borderId="12" xfId="0" applyNumberFormat="1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75" fontId="5" fillId="0" borderId="0" xfId="2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175" fontId="5" fillId="2" borderId="0" xfId="2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75" fontId="5" fillId="8" borderId="2" xfId="2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/>
    </xf>
    <xf numFmtId="9" fontId="5" fillId="8" borderId="2" xfId="2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175" fontId="5" fillId="8" borderId="0" xfId="20" applyNumberFormat="1" applyFont="1" applyFill="1" applyBorder="1" applyAlignment="1">
      <alignment horizontal="center"/>
    </xf>
    <xf numFmtId="164" fontId="5" fillId="8" borderId="0" xfId="0" applyNumberFormat="1" applyFont="1" applyFill="1" applyBorder="1" applyAlignment="1">
      <alignment horizontal="center"/>
    </xf>
    <xf numFmtId="10" fontId="5" fillId="8" borderId="0" xfId="2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/>
    </xf>
    <xf numFmtId="0" fontId="5" fillId="8" borderId="15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164" fontId="4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84" fontId="0" fillId="0" borderId="0" xfId="0" applyNumberFormat="1" applyAlignment="1">
      <alignment/>
    </xf>
    <xf numFmtId="175" fontId="4" fillId="0" borderId="10" xfId="2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75" fontId="4" fillId="0" borderId="5" xfId="2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Fill="1" applyBorder="1" applyAlignment="1">
      <alignment horizontal="left"/>
    </xf>
    <xf numFmtId="164" fontId="6" fillId="0" borderId="10" xfId="0" applyNumberFormat="1" applyFont="1" applyBorder="1" applyAlignment="1">
      <alignment/>
    </xf>
    <xf numFmtId="9" fontId="4" fillId="0" borderId="2" xfId="2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2" fontId="4" fillId="0" borderId="4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0" borderId="0" xfId="20" applyFont="1" applyBorder="1" applyAlignment="1">
      <alignment horizontal="center"/>
    </xf>
    <xf numFmtId="175" fontId="5" fillId="4" borderId="0" xfId="2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175" fontId="5" fillId="2" borderId="0" xfId="2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75" fontId="4" fillId="0" borderId="2" xfId="2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4" fontId="5" fillId="0" borderId="6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21" fillId="0" borderId="3" xfId="0" applyFont="1" applyBorder="1" applyAlignment="1">
      <alignment horizontal="centerContinuous"/>
    </xf>
    <xf numFmtId="0" fontId="21" fillId="0" borderId="4" xfId="0" applyFont="1" applyBorder="1" applyAlignment="1">
      <alignment horizontal="centerContinuous"/>
    </xf>
    <xf numFmtId="0" fontId="21" fillId="0" borderId="5" xfId="0" applyFont="1" applyBorder="1" applyAlignment="1">
      <alignment horizontal="centerContinuous"/>
    </xf>
    <xf numFmtId="164" fontId="6" fillId="0" borderId="0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4" fillId="0" borderId="1" xfId="2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0" fontId="6" fillId="0" borderId="6" xfId="20" applyNumberFormat="1" applyFont="1" applyBorder="1" applyAlignment="1">
      <alignment horizontal="center"/>
    </xf>
    <xf numFmtId="10" fontId="6" fillId="0" borderId="0" xfId="20" applyNumberFormat="1" applyFont="1" applyBorder="1" applyAlignment="1">
      <alignment horizontal="center"/>
    </xf>
    <xf numFmtId="10" fontId="6" fillId="0" borderId="10" xfId="20" applyNumberFormat="1" applyFont="1" applyBorder="1" applyAlignment="1">
      <alignment horizontal="center"/>
    </xf>
    <xf numFmtId="15" fontId="6" fillId="0" borderId="6" xfId="0" applyNumberFormat="1" applyFont="1" applyBorder="1" applyAlignment="1" quotePrefix="1">
      <alignment horizontal="center"/>
    </xf>
    <xf numFmtId="15" fontId="6" fillId="0" borderId="0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6" fillId="0" borderId="6" xfId="0" applyNumberFormat="1" applyFont="1" applyBorder="1" applyAlignment="1">
      <alignment/>
    </xf>
    <xf numFmtId="175" fontId="6" fillId="0" borderId="10" xfId="2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75" fontId="6" fillId="0" borderId="5" xfId="2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0" fontId="6" fillId="0" borderId="6" xfId="20" applyNumberFormat="1" applyFont="1" applyBorder="1" applyAlignment="1">
      <alignment/>
    </xf>
    <xf numFmtId="10" fontId="6" fillId="0" borderId="0" xfId="20" applyNumberFormat="1" applyFont="1" applyBorder="1" applyAlignment="1">
      <alignment/>
    </xf>
    <xf numFmtId="0" fontId="6" fillId="0" borderId="6" xfId="0" applyFont="1" applyBorder="1" applyAlignment="1" quotePrefix="1">
      <alignment/>
    </xf>
    <xf numFmtId="0" fontId="6" fillId="0" borderId="0" xfId="0" applyFont="1" applyBorder="1" applyAlignment="1" quotePrefix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7" fillId="4" borderId="12" xfId="0" applyFont="1" applyFill="1" applyBorder="1" applyAlignment="1">
      <alignment horizontal="centerContinuous"/>
    </xf>
    <xf numFmtId="0" fontId="7" fillId="4" borderId="13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75" fontId="4" fillId="0" borderId="0" xfId="20" applyNumberFormat="1" applyFont="1" applyBorder="1" applyAlignment="1">
      <alignment horizontal="center"/>
    </xf>
    <xf numFmtId="164" fontId="4" fillId="0" borderId="0" xfId="20" applyNumberFormat="1" applyFont="1" applyBorder="1" applyAlignment="1">
      <alignment/>
    </xf>
    <xf numFmtId="5" fontId="4" fillId="0" borderId="10" xfId="0" applyNumberFormat="1" applyFont="1" applyBorder="1" applyAlignment="1">
      <alignment/>
    </xf>
    <xf numFmtId="164" fontId="4" fillId="0" borderId="4" xfId="20" applyNumberFormat="1" applyFont="1" applyBorder="1" applyAlignment="1">
      <alignment/>
    </xf>
    <xf numFmtId="10" fontId="4" fillId="0" borderId="0" xfId="20" applyNumberFormat="1" applyFont="1" applyBorder="1" applyAlignment="1">
      <alignment/>
    </xf>
    <xf numFmtId="0" fontId="5" fillId="2" borderId="10" xfId="0" applyFont="1" applyFill="1" applyBorder="1" applyAlignment="1">
      <alignment horizontal="centerContinuous"/>
    </xf>
    <xf numFmtId="164" fontId="4" fillId="0" borderId="9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64" fontId="6" fillId="3" borderId="0" xfId="0" applyNumberFormat="1" applyFont="1" applyFill="1" applyAlignment="1">
      <alignment/>
    </xf>
    <xf numFmtId="9" fontId="6" fillId="0" borderId="0" xfId="20" applyFont="1" applyAlignment="1">
      <alignment/>
    </xf>
    <xf numFmtId="177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9" fontId="4" fillId="0" borderId="11" xfId="20" applyFont="1" applyBorder="1" applyAlignment="1">
      <alignment/>
    </xf>
    <xf numFmtId="175" fontId="4" fillId="0" borderId="12" xfId="20" applyNumberFormat="1" applyFont="1" applyBorder="1" applyAlignment="1">
      <alignment/>
    </xf>
    <xf numFmtId="175" fontId="4" fillId="0" borderId="13" xfId="20" applyNumberFormat="1" applyFont="1" applyBorder="1" applyAlignment="1">
      <alignment/>
    </xf>
    <xf numFmtId="175" fontId="4" fillId="0" borderId="11" xfId="20" applyNumberFormat="1" applyFont="1" applyBorder="1" applyAlignment="1">
      <alignment/>
    </xf>
    <xf numFmtId="9" fontId="4" fillId="0" borderId="12" xfId="2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7" xfId="0" applyNumberFormat="1" applyFont="1" applyBorder="1" applyAlignment="1">
      <alignment/>
    </xf>
    <xf numFmtId="10" fontId="6" fillId="0" borderId="7" xfId="20" applyNumberFormat="1" applyFont="1" applyBorder="1" applyAlignment="1">
      <alignment/>
    </xf>
    <xf numFmtId="0" fontId="6" fillId="0" borderId="8" xfId="0" applyFont="1" applyBorder="1" applyAlignment="1">
      <alignment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5" fillId="8" borderId="1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4" fillId="0" borderId="0" xfId="20" applyNumberFormat="1" applyFont="1" applyFill="1" applyBorder="1" applyAlignment="1">
      <alignment/>
    </xf>
    <xf numFmtId="175" fontId="5" fillId="0" borderId="10" xfId="20" applyNumberFormat="1" applyFont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164" fontId="4" fillId="0" borderId="4" xfId="20" applyNumberFormat="1" applyFont="1" applyFill="1" applyBorder="1" applyAlignment="1">
      <alignment/>
    </xf>
    <xf numFmtId="175" fontId="5" fillId="0" borderId="5" xfId="20" applyNumberFormat="1" applyFont="1" applyBorder="1" applyAlignment="1">
      <alignment/>
    </xf>
    <xf numFmtId="164" fontId="6" fillId="0" borderId="4" xfId="0" applyNumberFormat="1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164" fontId="6" fillId="0" borderId="8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23" fillId="0" borderId="1" xfId="0" applyFont="1" applyBorder="1" applyAlignment="1">
      <alignment horizontal="centerContinuous"/>
    </xf>
    <xf numFmtId="0" fontId="23" fillId="0" borderId="2" xfId="0" applyFont="1" applyBorder="1" applyAlignment="1">
      <alignment horizontal="centerContinuous"/>
    </xf>
    <xf numFmtId="0" fontId="23" fillId="0" borderId="9" xfId="0" applyFont="1" applyBorder="1" applyAlignment="1">
      <alignment horizontal="centerContinuous"/>
    </xf>
    <xf numFmtId="184" fontId="4" fillId="0" borderId="0" xfId="0" applyNumberFormat="1" applyFont="1" applyBorder="1" applyAlignment="1">
      <alignment horizontal="center"/>
    </xf>
    <xf numFmtId="184" fontId="4" fillId="0" borderId="4" xfId="0" applyNumberFormat="1" applyFont="1" applyBorder="1" applyAlignment="1">
      <alignment horizontal="center"/>
    </xf>
    <xf numFmtId="164" fontId="4" fillId="9" borderId="0" xfId="0" applyNumberFormat="1" applyFont="1" applyFill="1" applyBorder="1" applyAlignment="1">
      <alignment/>
    </xf>
    <xf numFmtId="164" fontId="4" fillId="9" borderId="4" xfId="0" applyNumberFormat="1" applyFont="1" applyFill="1" applyBorder="1" applyAlignment="1">
      <alignment/>
    </xf>
    <xf numFmtId="164" fontId="4" fillId="9" borderId="0" xfId="0" applyNumberFormat="1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/>
    </xf>
    <xf numFmtId="190" fontId="4" fillId="0" borderId="10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75" fontId="6" fillId="0" borderId="0" xfId="2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2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75" fontId="6" fillId="0" borderId="4" xfId="20" applyNumberFormat="1" applyFont="1" applyBorder="1" applyAlignment="1">
      <alignment/>
    </xf>
    <xf numFmtId="166" fontId="6" fillId="0" borderId="0" xfId="0" applyNumberFormat="1" applyFont="1" applyBorder="1" applyAlignment="1" quotePrefix="1">
      <alignment horizontal="center"/>
    </xf>
    <xf numFmtId="10" fontId="6" fillId="0" borderId="2" xfId="20" applyNumberFormat="1" applyFont="1" applyBorder="1" applyAlignment="1">
      <alignment horizontal="right"/>
    </xf>
    <xf numFmtId="10" fontId="6" fillId="0" borderId="0" xfId="20" applyNumberFormat="1" applyFont="1" applyBorder="1" applyAlignment="1">
      <alignment horizontal="right"/>
    </xf>
    <xf numFmtId="10" fontId="5" fillId="2" borderId="6" xfId="20" applyNumberFormat="1" applyFont="1" applyFill="1" applyBorder="1" applyAlignment="1">
      <alignment/>
    </xf>
    <xf numFmtId="10" fontId="5" fillId="4" borderId="6" xfId="20" applyNumberFormat="1" applyFont="1" applyFill="1" applyBorder="1" applyAlignment="1">
      <alignment horizontal="center"/>
    </xf>
    <xf numFmtId="175" fontId="6" fillId="0" borderId="4" xfId="20" applyNumberFormat="1" applyFont="1" applyBorder="1" applyAlignment="1">
      <alignment horizontal="right"/>
    </xf>
    <xf numFmtId="0" fontId="6" fillId="0" borderId="6" xfId="0" applyFont="1" applyBorder="1" applyAlignment="1" quotePrefix="1">
      <alignment horizontal="center"/>
    </xf>
    <xf numFmtId="166" fontId="6" fillId="2" borderId="10" xfId="0" applyNumberFormat="1" applyFont="1" applyFill="1" applyBorder="1" applyAlignment="1">
      <alignment/>
    </xf>
    <xf numFmtId="166" fontId="7" fillId="0" borderId="5" xfId="0" applyNumberFormat="1" applyFont="1" applyFill="1" applyBorder="1" applyAlignment="1">
      <alignment/>
    </xf>
    <xf numFmtId="166" fontId="6" fillId="5" borderId="2" xfId="0" applyNumberFormat="1" applyFont="1" applyFill="1" applyBorder="1" applyAlignment="1">
      <alignment/>
    </xf>
    <xf numFmtId="166" fontId="6" fillId="5" borderId="9" xfId="0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6" fontId="6" fillId="0" borderId="9" xfId="0" applyNumberFormat="1" applyFont="1" applyFill="1" applyBorder="1" applyAlignment="1">
      <alignment/>
    </xf>
    <xf numFmtId="166" fontId="6" fillId="5" borderId="0" xfId="0" applyNumberFormat="1" applyFont="1" applyFill="1" applyBorder="1" applyAlignment="1">
      <alignment/>
    </xf>
    <xf numFmtId="166" fontId="6" fillId="5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91" fontId="6" fillId="5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5" borderId="4" xfId="0" applyNumberFormat="1" applyFont="1" applyFill="1" applyBorder="1" applyAlignment="1">
      <alignment/>
    </xf>
    <xf numFmtId="166" fontId="7" fillId="5" borderId="5" xfId="0" applyNumberFormat="1" applyFont="1" applyFill="1" applyBorder="1" applyAlignment="1">
      <alignment/>
    </xf>
    <xf numFmtId="166" fontId="6" fillId="0" borderId="4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9" fontId="5" fillId="2" borderId="9" xfId="20" applyFont="1" applyFill="1" applyBorder="1" applyAlignment="1">
      <alignment horizontal="centerContinuous"/>
    </xf>
    <xf numFmtId="164" fontId="5" fillId="0" borderId="6" xfId="0" applyNumberFormat="1" applyFont="1" applyFill="1" applyBorder="1" applyAlignment="1">
      <alignment/>
    </xf>
    <xf numFmtId="0" fontId="6" fillId="0" borderId="6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left" indent="1"/>
    </xf>
    <xf numFmtId="164" fontId="4" fillId="3" borderId="7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5" fontId="4" fillId="0" borderId="14" xfId="20" applyNumberFormat="1" applyFont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left" indent="1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0" fontId="5" fillId="0" borderId="0" xfId="20" applyNumberFormat="1" applyFont="1" applyBorder="1" applyAlignment="1">
      <alignment horizontal="center"/>
    </xf>
    <xf numFmtId="175" fontId="4" fillId="0" borderId="10" xfId="20" applyNumberFormat="1" applyFont="1" applyBorder="1" applyAlignment="1">
      <alignment horizontal="center"/>
    </xf>
    <xf numFmtId="164" fontId="4" fillId="0" borderId="10" xfId="20" applyNumberFormat="1" applyFont="1" applyBorder="1" applyAlignment="1">
      <alignment/>
    </xf>
    <xf numFmtId="164" fontId="4" fillId="0" borderId="5" xfId="20" applyNumberFormat="1" applyFont="1" applyBorder="1" applyAlignment="1">
      <alignment/>
    </xf>
    <xf numFmtId="0" fontId="29" fillId="10" borderId="12" xfId="0" applyFont="1" applyFill="1" applyBorder="1" applyAlignment="1">
      <alignment horizontal="centerContinuous"/>
    </xf>
    <xf numFmtId="0" fontId="28" fillId="10" borderId="12" xfId="0" applyFont="1" applyFill="1" applyBorder="1" applyAlignment="1">
      <alignment horizontal="centerContinuous"/>
    </xf>
    <xf numFmtId="0" fontId="28" fillId="10" borderId="13" xfId="0" applyFont="1" applyFill="1" applyBorder="1" applyAlignment="1">
      <alignment horizontal="centerContinuous"/>
    </xf>
    <xf numFmtId="15" fontId="6" fillId="0" borderId="0" xfId="0" applyNumberFormat="1" applyFont="1" applyBorder="1" applyAlignment="1" quotePrefix="1">
      <alignment/>
    </xf>
    <xf numFmtId="0" fontId="28" fillId="10" borderId="1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9" fillId="10" borderId="3" xfId="0" applyFont="1" applyFill="1" applyBorder="1" applyAlignment="1">
      <alignment horizontal="center"/>
    </xf>
    <xf numFmtId="0" fontId="29" fillId="10" borderId="5" xfId="0" applyFont="1" applyFill="1" applyBorder="1" applyAlignment="1">
      <alignment horizontal="center"/>
    </xf>
    <xf numFmtId="0" fontId="29" fillId="10" borderId="11" xfId="0" applyFont="1" applyFill="1" applyBorder="1" applyAlignment="1">
      <alignment/>
    </xf>
    <xf numFmtId="0" fontId="29" fillId="10" borderId="12" xfId="0" applyFont="1" applyFill="1" applyBorder="1" applyAlignment="1">
      <alignment/>
    </xf>
    <xf numFmtId="0" fontId="29" fillId="10" borderId="12" xfId="0" applyFont="1" applyFill="1" applyBorder="1" applyAlignment="1">
      <alignment horizontal="right"/>
    </xf>
    <xf numFmtId="0" fontId="29" fillId="10" borderId="13" xfId="0" applyFont="1" applyFill="1" applyBorder="1" applyAlignment="1">
      <alignment/>
    </xf>
    <xf numFmtId="0" fontId="30" fillId="10" borderId="11" xfId="0" applyFont="1" applyFill="1" applyBorder="1" applyAlignment="1">
      <alignment horizontal="centerContinuous"/>
    </xf>
    <xf numFmtId="0" fontId="30" fillId="10" borderId="12" xfId="0" applyFont="1" applyFill="1" applyBorder="1" applyAlignment="1">
      <alignment horizontal="centerContinuous"/>
    </xf>
    <xf numFmtId="0" fontId="30" fillId="10" borderId="13" xfId="0" applyFont="1" applyFill="1" applyBorder="1" applyAlignment="1">
      <alignment horizontal="centerContinuous"/>
    </xf>
    <xf numFmtId="0" fontId="29" fillId="10" borderId="11" xfId="0" applyFont="1" applyFill="1" applyBorder="1" applyAlignment="1">
      <alignment horizontal="centerContinuous"/>
    </xf>
    <xf numFmtId="0" fontId="29" fillId="10" borderId="13" xfId="0" applyFont="1" applyFill="1" applyBorder="1" applyAlignment="1">
      <alignment horizontal="centerContinuous"/>
    </xf>
    <xf numFmtId="0" fontId="28" fillId="10" borderId="0" xfId="0" applyFont="1" applyFill="1" applyAlignment="1">
      <alignment horizontal="center"/>
    </xf>
    <xf numFmtId="0" fontId="29" fillId="10" borderId="12" xfId="0" applyFont="1" applyFill="1" applyBorder="1" applyAlignment="1">
      <alignment/>
    </xf>
    <xf numFmtId="164" fontId="29" fillId="10" borderId="4" xfId="0" applyNumberFormat="1" applyFont="1" applyFill="1" applyBorder="1" applyAlignment="1">
      <alignment/>
    </xf>
    <xf numFmtId="0" fontId="28" fillId="10" borderId="0" xfId="0" applyFont="1" applyFill="1" applyAlignment="1">
      <alignment/>
    </xf>
    <xf numFmtId="0" fontId="29" fillId="10" borderId="13" xfId="0" applyFont="1" applyFill="1" applyBorder="1" applyAlignment="1">
      <alignment/>
    </xf>
    <xf numFmtId="186" fontId="30" fillId="10" borderId="11" xfId="0" applyNumberFormat="1" applyFont="1" applyFill="1" applyBorder="1" applyAlignment="1">
      <alignment horizontal="centerContinuous"/>
    </xf>
    <xf numFmtId="186" fontId="30" fillId="10" borderId="12" xfId="0" applyNumberFormat="1" applyFont="1" applyFill="1" applyBorder="1" applyAlignment="1">
      <alignment horizontal="centerContinuous"/>
    </xf>
    <xf numFmtId="186" fontId="30" fillId="10" borderId="13" xfId="0" applyNumberFormat="1" applyFont="1" applyFill="1" applyBorder="1" applyAlignment="1">
      <alignment horizontal="centerContinuous"/>
    </xf>
    <xf numFmtId="0" fontId="28" fillId="10" borderId="11" xfId="0" applyFont="1" applyFill="1" applyBorder="1" applyAlignment="1">
      <alignment horizontal="center"/>
    </xf>
    <xf numFmtId="0" fontId="28" fillId="10" borderId="12" xfId="0" applyFont="1" applyFill="1" applyBorder="1" applyAlignment="1">
      <alignment horizontal="center"/>
    </xf>
    <xf numFmtId="0" fontId="28" fillId="10" borderId="12" xfId="0" applyFont="1" applyFill="1" applyBorder="1" applyAlignment="1">
      <alignment/>
    </xf>
    <xf numFmtId="0" fontId="29" fillId="10" borderId="4" xfId="0" applyFont="1" applyFill="1" applyBorder="1" applyAlignment="1">
      <alignment/>
    </xf>
    <xf numFmtId="0" fontId="28" fillId="10" borderId="13" xfId="0" applyFont="1" applyFill="1" applyBorder="1" applyAlignment="1">
      <alignment/>
    </xf>
    <xf numFmtId="0" fontId="29" fillId="10" borderId="11" xfId="0" applyFont="1" applyFill="1" applyBorder="1" applyAlignment="1">
      <alignment horizontal="center"/>
    </xf>
    <xf numFmtId="164" fontId="29" fillId="10" borderId="12" xfId="0" applyNumberFormat="1" applyFont="1" applyFill="1" applyBorder="1" applyAlignment="1">
      <alignment/>
    </xf>
    <xf numFmtId="10" fontId="29" fillId="10" borderId="12" xfId="20" applyNumberFormat="1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29" fillId="11" borderId="9" xfId="0" applyFont="1" applyFill="1" applyBorder="1" applyAlignment="1">
      <alignment horizontal="center"/>
    </xf>
    <xf numFmtId="0" fontId="29" fillId="11" borderId="6" xfId="0" applyFont="1" applyFill="1" applyBorder="1" applyAlignment="1">
      <alignment horizontal="center"/>
    </xf>
    <xf numFmtId="0" fontId="29" fillId="11" borderId="10" xfId="0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/>
    </xf>
    <xf numFmtId="10" fontId="4" fillId="0" borderId="12" xfId="20" applyNumberFormat="1" applyFont="1" applyBorder="1" applyAlignment="1">
      <alignment/>
    </xf>
    <xf numFmtId="10" fontId="4" fillId="0" borderId="13" xfId="20" applyNumberFormat="1" applyFont="1" applyBorder="1" applyAlignment="1">
      <alignment/>
    </xf>
    <xf numFmtId="10" fontId="4" fillId="0" borderId="11" xfId="20" applyNumberFormat="1" applyFont="1" applyBorder="1" applyAlignment="1">
      <alignment/>
    </xf>
    <xf numFmtId="0" fontId="29" fillId="11" borderId="8" xfId="0" applyFont="1" applyFill="1" applyBorder="1" applyAlignment="1">
      <alignment horizontal="center" wrapText="1"/>
    </xf>
    <xf numFmtId="0" fontId="29" fillId="10" borderId="4" xfId="0" applyFont="1" applyFill="1" applyBorder="1" applyAlignment="1">
      <alignment horizontal="center"/>
    </xf>
    <xf numFmtId="0" fontId="4" fillId="0" borderId="6" xfId="0" applyFont="1" applyBorder="1" applyAlignment="1" quotePrefix="1">
      <alignment horizontal="left"/>
    </xf>
    <xf numFmtId="0" fontId="33" fillId="10" borderId="11" xfId="0" applyFont="1" applyFill="1" applyBorder="1" applyAlignment="1">
      <alignment horizontal="centerContinuous"/>
    </xf>
    <xf numFmtId="0" fontId="33" fillId="10" borderId="12" xfId="0" applyFont="1" applyFill="1" applyBorder="1" applyAlignment="1">
      <alignment horizontal="centerContinuous"/>
    </xf>
    <xf numFmtId="0" fontId="33" fillId="10" borderId="13" xfId="0" applyFont="1" applyFill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6" fillId="0" borderId="1" xfId="0" applyFont="1" applyBorder="1" applyAlignment="1" quotePrefix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 quotePrefix="1">
      <alignment horizontal="left" indent="1"/>
    </xf>
    <xf numFmtId="7" fontId="6" fillId="0" borderId="0" xfId="0" applyNumberFormat="1" applyFont="1" applyBorder="1" applyAlignment="1">
      <alignment/>
    </xf>
    <xf numFmtId="7" fontId="6" fillId="0" borderId="10" xfId="0" applyNumberFormat="1" applyFont="1" applyBorder="1" applyAlignment="1">
      <alignment/>
    </xf>
    <xf numFmtId="7" fontId="6" fillId="0" borderId="2" xfId="0" applyNumberFormat="1" applyFont="1" applyBorder="1" applyAlignment="1">
      <alignment/>
    </xf>
    <xf numFmtId="175" fontId="6" fillId="0" borderId="2" xfId="20" applyNumberFormat="1" applyFont="1" applyBorder="1" applyAlignment="1">
      <alignment/>
    </xf>
    <xf numFmtId="7" fontId="6" fillId="0" borderId="9" xfId="0" applyNumberFormat="1" applyFont="1" applyBorder="1" applyAlignment="1">
      <alignment/>
    </xf>
    <xf numFmtId="7" fontId="6" fillId="0" borderId="4" xfId="0" applyNumberFormat="1" applyFont="1" applyBorder="1" applyAlignment="1">
      <alignment/>
    </xf>
    <xf numFmtId="7" fontId="6" fillId="0" borderId="4" xfId="20" applyNumberFormat="1" applyFont="1" applyBorder="1" applyAlignment="1">
      <alignment/>
    </xf>
    <xf numFmtId="7" fontId="6" fillId="0" borderId="5" xfId="0" applyNumberFormat="1" applyFont="1" applyBorder="1" applyAlignment="1">
      <alignment/>
    </xf>
    <xf numFmtId="7" fontId="6" fillId="0" borderId="0" xfId="20" applyNumberFormat="1" applyFont="1" applyBorder="1" applyAlignment="1">
      <alignment/>
    </xf>
    <xf numFmtId="199" fontId="6" fillId="0" borderId="0" xfId="15" applyNumberFormat="1" applyFont="1" applyBorder="1" applyAlignment="1">
      <alignment/>
    </xf>
    <xf numFmtId="9" fontId="6" fillId="0" borderId="4" xfId="2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98" fontId="6" fillId="2" borderId="0" xfId="15" applyNumberFormat="1" applyFont="1" applyFill="1" applyBorder="1" applyAlignment="1">
      <alignment/>
    </xf>
    <xf numFmtId="184" fontId="6" fillId="2" borderId="0" xfId="0" applyNumberFormat="1" applyFont="1" applyFill="1" applyBorder="1" applyAlignment="1">
      <alignment/>
    </xf>
    <xf numFmtId="199" fontId="6" fillId="0" borderId="0" xfId="0" applyNumberFormat="1" applyFont="1" applyAlignment="1">
      <alignment/>
    </xf>
    <xf numFmtId="198" fontId="6" fillId="0" borderId="4" xfId="15" applyNumberFormat="1" applyFont="1" applyFill="1" applyBorder="1" applyAlignment="1">
      <alignment/>
    </xf>
    <xf numFmtId="7" fontId="6" fillId="0" borderId="4" xfId="0" applyNumberFormat="1" applyFont="1" applyBorder="1" applyAlignment="1">
      <alignment horizontal="center"/>
    </xf>
    <xf numFmtId="199" fontId="6" fillId="0" borderId="4" xfId="15" applyNumberFormat="1" applyFont="1" applyBorder="1" applyAlignment="1">
      <alignment/>
    </xf>
    <xf numFmtId="198" fontId="6" fillId="0" borderId="4" xfId="15" applyNumberFormat="1" applyFont="1" applyBorder="1" applyAlignment="1">
      <alignment/>
    </xf>
    <xf numFmtId="198" fontId="6" fillId="0" borderId="0" xfId="15" applyNumberFormat="1" applyFont="1" applyFill="1" applyBorder="1" applyAlignment="1">
      <alignment/>
    </xf>
    <xf numFmtId="7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64" fontId="34" fillId="12" borderId="0" xfId="0" applyNumberFormat="1" applyFont="1" applyFill="1" applyBorder="1" applyAlignment="1">
      <alignment/>
    </xf>
    <xf numFmtId="164" fontId="28" fillId="1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6" fillId="0" borderId="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6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7" fontId="36" fillId="0" borderId="0" xfId="0" applyNumberFormat="1" applyFont="1" applyFill="1" applyBorder="1" applyAlignment="1">
      <alignment/>
    </xf>
    <xf numFmtId="7" fontId="36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36" fillId="0" borderId="12" xfId="0" applyFont="1" applyFill="1" applyBorder="1" applyAlignment="1">
      <alignment/>
    </xf>
    <xf numFmtId="7" fontId="5" fillId="0" borderId="12" xfId="0" applyNumberFormat="1" applyFont="1" applyFill="1" applyBorder="1" applyAlignment="1">
      <alignment/>
    </xf>
    <xf numFmtId="7" fontId="5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 horizontal="center"/>
    </xf>
    <xf numFmtId="9" fontId="5" fillId="0" borderId="10" xfId="20" applyFont="1" applyFill="1" applyBorder="1" applyAlignment="1">
      <alignment/>
    </xf>
    <xf numFmtId="7" fontId="4" fillId="0" borderId="0" xfId="0" applyNumberFormat="1" applyFont="1" applyFill="1" applyBorder="1" applyAlignment="1">
      <alignment horizontal="center"/>
    </xf>
    <xf numFmtId="9" fontId="4" fillId="0" borderId="10" xfId="20" applyFont="1" applyFill="1" applyBorder="1" applyAlignment="1">
      <alignment/>
    </xf>
    <xf numFmtId="0" fontId="5" fillId="0" borderId="3" xfId="0" applyFont="1" applyFill="1" applyBorder="1" applyAlignment="1">
      <alignment/>
    </xf>
    <xf numFmtId="5" fontId="4" fillId="0" borderId="4" xfId="0" applyNumberFormat="1" applyFont="1" applyFill="1" applyBorder="1" applyAlignment="1">
      <alignment/>
    </xf>
    <xf numFmtId="7" fontId="5" fillId="0" borderId="4" xfId="0" applyNumberFormat="1" applyFont="1" applyFill="1" applyBorder="1" applyAlignment="1">
      <alignment/>
    </xf>
    <xf numFmtId="7" fontId="4" fillId="0" borderId="4" xfId="0" applyNumberFormat="1" applyFont="1" applyFill="1" applyBorder="1" applyAlignment="1">
      <alignment horizontal="center"/>
    </xf>
    <xf numFmtId="9" fontId="4" fillId="0" borderId="5" xfId="20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>
      <alignment/>
    </xf>
    <xf numFmtId="0" fontId="28" fillId="11" borderId="1" xfId="0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9" fillId="11" borderId="4" xfId="0" applyFont="1" applyFill="1" applyBorder="1" applyAlignment="1">
      <alignment horizontal="center"/>
    </xf>
    <xf numFmtId="0" fontId="29" fillId="11" borderId="5" xfId="0" applyFont="1" applyFill="1" applyBorder="1" applyAlignment="1">
      <alignment horizontal="center"/>
    </xf>
    <xf numFmtId="202" fontId="4" fillId="0" borderId="0" xfId="0" applyNumberFormat="1" applyFont="1" applyAlignment="1">
      <alignment/>
    </xf>
    <xf numFmtId="188" fontId="4" fillId="0" borderId="6" xfId="0" applyNumberFormat="1" applyFont="1" applyBorder="1" applyAlignment="1">
      <alignment/>
    </xf>
    <xf numFmtId="10" fontId="4" fillId="0" borderId="6" xfId="2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5" fontId="4" fillId="0" borderId="5" xfId="0" applyNumberFormat="1" applyFont="1" applyBorder="1" applyAlignment="1">
      <alignment/>
    </xf>
    <xf numFmtId="171" fontId="4" fillId="0" borderId="7" xfId="0" applyNumberFormat="1" applyFont="1" applyBorder="1" applyAlignment="1">
      <alignment/>
    </xf>
    <xf numFmtId="43" fontId="4" fillId="0" borderId="14" xfId="15" applyFont="1" applyBorder="1" applyAlignment="1">
      <alignment/>
    </xf>
    <xf numFmtId="175" fontId="29" fillId="11" borderId="2" xfId="20" applyNumberFormat="1" applyFont="1" applyFill="1" applyBorder="1" applyAlignment="1">
      <alignment horizontal="centerContinuous"/>
    </xf>
    <xf numFmtId="175" fontId="29" fillId="11" borderId="2" xfId="20" applyNumberFormat="1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175" fontId="29" fillId="11" borderId="2" xfId="0" applyNumberFormat="1" applyFont="1" applyFill="1" applyBorder="1" applyAlignment="1">
      <alignment horizontal="center"/>
    </xf>
    <xf numFmtId="9" fontId="29" fillId="11" borderId="2" xfId="20" applyFont="1" applyFill="1" applyBorder="1" applyAlignment="1">
      <alignment horizontal="center"/>
    </xf>
    <xf numFmtId="0" fontId="29" fillId="11" borderId="15" xfId="0" applyFont="1" applyFill="1" applyBorder="1" applyAlignment="1">
      <alignment horizontal="center"/>
    </xf>
    <xf numFmtId="0" fontId="29" fillId="11" borderId="8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left"/>
    </xf>
    <xf numFmtId="164" fontId="29" fillId="11" borderId="0" xfId="20" applyNumberFormat="1" applyFont="1" applyFill="1" applyBorder="1" applyAlignment="1">
      <alignment horizontal="center"/>
    </xf>
    <xf numFmtId="0" fontId="28" fillId="11" borderId="15" xfId="0" applyFont="1" applyFill="1" applyBorder="1" applyAlignment="1">
      <alignment horizontal="center"/>
    </xf>
    <xf numFmtId="0" fontId="28" fillId="11" borderId="9" xfId="0" applyFont="1" applyFill="1" applyBorder="1" applyAlignment="1">
      <alignment horizontal="center"/>
    </xf>
    <xf numFmtId="164" fontId="29" fillId="11" borderId="4" xfId="0" applyNumberFormat="1" applyFont="1" applyFill="1" applyBorder="1" applyAlignment="1">
      <alignment/>
    </xf>
    <xf numFmtId="175" fontId="29" fillId="11" borderId="4" xfId="20" applyNumberFormat="1" applyFont="1" applyFill="1" applyBorder="1" applyAlignment="1">
      <alignment/>
    </xf>
    <xf numFmtId="164" fontId="29" fillId="11" borderId="4" xfId="20" applyNumberFormat="1" applyFont="1" applyFill="1" applyBorder="1" applyAlignment="1">
      <alignment horizontal="center"/>
    </xf>
    <xf numFmtId="175" fontId="29" fillId="11" borderId="4" xfId="20" applyNumberFormat="1" applyFont="1" applyFill="1" applyBorder="1" applyAlignment="1">
      <alignment horizontal="center"/>
    </xf>
    <xf numFmtId="0" fontId="29" fillId="11" borderId="4" xfId="0" applyFont="1" applyFill="1" applyBorder="1" applyAlignment="1">
      <alignment/>
    </xf>
    <xf numFmtId="0" fontId="29" fillId="11" borderId="8" xfId="0" applyFont="1" applyFill="1" applyBorder="1" applyAlignment="1">
      <alignment/>
    </xf>
    <xf numFmtId="0" fontId="29" fillId="11" borderId="5" xfId="0" applyFont="1" applyFill="1" applyBorder="1" applyAlignment="1">
      <alignment/>
    </xf>
    <xf numFmtId="0" fontId="29" fillId="10" borderId="2" xfId="0" applyFont="1" applyFill="1" applyBorder="1" applyAlignment="1">
      <alignment horizontal="center"/>
    </xf>
    <xf numFmtId="0" fontId="28" fillId="10" borderId="11" xfId="0" applyFont="1" applyFill="1" applyBorder="1" applyAlignment="1">
      <alignment/>
    </xf>
    <xf numFmtId="0" fontId="29" fillId="10" borderId="1" xfId="0" applyFont="1" applyFill="1" applyBorder="1" applyAlignment="1">
      <alignment horizontal="center"/>
    </xf>
    <xf numFmtId="5" fontId="4" fillId="0" borderId="6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5" fontId="4" fillId="0" borderId="3" xfId="0" applyNumberFormat="1" applyFont="1" applyBorder="1" applyAlignment="1">
      <alignment/>
    </xf>
    <xf numFmtId="5" fontId="4" fillId="0" borderId="4" xfId="0" applyNumberFormat="1" applyFont="1" applyBorder="1" applyAlignment="1">
      <alignment/>
    </xf>
    <xf numFmtId="0" fontId="28" fillId="10" borderId="2" xfId="0" applyFont="1" applyFill="1" applyBorder="1" applyAlignment="1">
      <alignment horizontal="center"/>
    </xf>
    <xf numFmtId="0" fontId="28" fillId="10" borderId="9" xfId="0" applyFont="1" applyFill="1" applyBorder="1" applyAlignment="1">
      <alignment horizontal="center"/>
    </xf>
    <xf numFmtId="0" fontId="29" fillId="10" borderId="3" xfId="0" applyFont="1" applyFill="1" applyBorder="1" applyAlignment="1">
      <alignment/>
    </xf>
    <xf numFmtId="0" fontId="29" fillId="10" borderId="5" xfId="0" applyFont="1" applyFill="1" applyBorder="1" applyAlignment="1">
      <alignment/>
    </xf>
    <xf numFmtId="0" fontId="29" fillId="11" borderId="2" xfId="0" applyFont="1" applyFill="1" applyBorder="1" applyAlignment="1">
      <alignment horizontal="centerContinuous"/>
    </xf>
    <xf numFmtId="0" fontId="29" fillId="11" borderId="2" xfId="0" applyFont="1" applyFill="1" applyBorder="1" applyAlignment="1">
      <alignment/>
    </xf>
    <xf numFmtId="0" fontId="29" fillId="11" borderId="0" xfId="0" applyFont="1" applyFill="1" applyBorder="1" applyAlignment="1">
      <alignment horizontal="center"/>
    </xf>
    <xf numFmtId="175" fontId="29" fillId="11" borderId="0" xfId="20" applyNumberFormat="1" applyFont="1" applyFill="1" applyBorder="1" applyAlignment="1">
      <alignment horizontal="center"/>
    </xf>
    <xf numFmtId="164" fontId="29" fillId="11" borderId="0" xfId="0" applyNumberFormat="1" applyFont="1" applyFill="1" applyBorder="1" applyAlignment="1">
      <alignment horizontal="center"/>
    </xf>
    <xf numFmtId="9" fontId="29" fillId="11" borderId="0" xfId="20" applyNumberFormat="1" applyFont="1" applyFill="1" applyBorder="1" applyAlignment="1">
      <alignment horizontal="center"/>
    </xf>
    <xf numFmtId="9" fontId="29" fillId="11" borderId="0" xfId="20" applyFont="1" applyFill="1" applyBorder="1" applyAlignment="1">
      <alignment horizontal="center"/>
    </xf>
    <xf numFmtId="0" fontId="29" fillId="11" borderId="7" xfId="0" applyFont="1" applyFill="1" applyBorder="1" applyAlignment="1">
      <alignment horizontal="center"/>
    </xf>
    <xf numFmtId="0" fontId="28" fillId="11" borderId="6" xfId="0" applyFont="1" applyFill="1" applyBorder="1" applyAlignment="1">
      <alignment horizontal="left"/>
    </xf>
    <xf numFmtId="208" fontId="29" fillId="11" borderId="0" xfId="0" applyNumberFormat="1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/>
    </xf>
    <xf numFmtId="175" fontId="5" fillId="8" borderId="6" xfId="20" applyNumberFormat="1" applyFont="1" applyFill="1" applyBorder="1" applyAlignment="1">
      <alignment horizontal="center"/>
    </xf>
    <xf numFmtId="164" fontId="5" fillId="8" borderId="6" xfId="0" applyNumberFormat="1" applyFont="1" applyFill="1" applyBorder="1" applyAlignment="1">
      <alignment horizontal="center"/>
    </xf>
    <xf numFmtId="10" fontId="5" fillId="8" borderId="6" xfId="2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8" fillId="11" borderId="11" xfId="0" applyFont="1" applyFill="1" applyBorder="1" applyAlignment="1">
      <alignment/>
    </xf>
    <xf numFmtId="0" fontId="28" fillId="11" borderId="12" xfId="0" applyFont="1" applyFill="1" applyBorder="1" applyAlignment="1">
      <alignment/>
    </xf>
    <xf numFmtId="17" fontId="29" fillId="11" borderId="12" xfId="0" applyNumberFormat="1" applyFont="1" applyFill="1" applyBorder="1" applyAlignment="1" quotePrefix="1">
      <alignment horizontal="center"/>
    </xf>
    <xf numFmtId="0" fontId="29" fillId="11" borderId="12" xfId="0" applyFont="1" applyFill="1" applyBorder="1" applyAlignment="1">
      <alignment/>
    </xf>
    <xf numFmtId="17" fontId="29" fillId="11" borderId="12" xfId="0" applyNumberFormat="1" applyFont="1" applyFill="1" applyBorder="1" applyAlignment="1">
      <alignment horizontal="center"/>
    </xf>
    <xf numFmtId="17" fontId="29" fillId="11" borderId="13" xfId="0" applyNumberFormat="1" applyFont="1" applyFill="1" applyBorder="1" applyAlignment="1">
      <alignment horizontal="center"/>
    </xf>
    <xf numFmtId="175" fontId="4" fillId="0" borderId="1" xfId="20" applyNumberFormat="1" applyFont="1" applyBorder="1" applyAlignment="1">
      <alignment horizontal="center"/>
    </xf>
    <xf numFmtId="0" fontId="32" fillId="10" borderId="13" xfId="0" applyFont="1" applyFill="1" applyBorder="1" applyAlignment="1">
      <alignment horizontal="centerContinuous"/>
    </xf>
    <xf numFmtId="0" fontId="4" fillId="10" borderId="4" xfId="0" applyFont="1" applyFill="1" applyBorder="1" applyAlignment="1">
      <alignment horizontal="centerContinuous"/>
    </xf>
    <xf numFmtId="0" fontId="29" fillId="11" borderId="4" xfId="0" applyFont="1" applyFill="1" applyBorder="1" applyAlignment="1">
      <alignment horizontal="center" wrapText="1"/>
    </xf>
    <xf numFmtId="0" fontId="29" fillId="11" borderId="5" xfId="0" applyFont="1" applyFill="1" applyBorder="1" applyAlignment="1">
      <alignment horizontal="center" wrapText="1"/>
    </xf>
    <xf numFmtId="0" fontId="29" fillId="11" borderId="12" xfId="0" applyFont="1" applyFill="1" applyBorder="1" applyAlignment="1">
      <alignment horizontal="center"/>
    </xf>
    <xf numFmtId="0" fontId="29" fillId="11" borderId="12" xfId="0" applyFont="1" applyFill="1" applyBorder="1" applyAlignment="1">
      <alignment horizontal="center" wrapText="1"/>
    </xf>
    <xf numFmtId="0" fontId="29" fillId="11" borderId="13" xfId="0" applyFont="1" applyFill="1" applyBorder="1" applyAlignment="1">
      <alignment horizontal="center" wrapText="1"/>
    </xf>
    <xf numFmtId="0" fontId="29" fillId="11" borderId="1" xfId="0" applyFont="1" applyFill="1" applyBorder="1" applyAlignment="1">
      <alignment horizontal="centerContinuous"/>
    </xf>
    <xf numFmtId="0" fontId="29" fillId="11" borderId="9" xfId="0" applyFont="1" applyFill="1" applyBorder="1" applyAlignment="1">
      <alignment horizontal="centerContinuous"/>
    </xf>
    <xf numFmtId="0" fontId="29" fillId="10" borderId="12" xfId="0" applyFont="1" applyFill="1" applyBorder="1" applyAlignment="1">
      <alignment horizontal="center"/>
    </xf>
    <xf numFmtId="7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left" indent="1"/>
    </xf>
    <xf numFmtId="175" fontId="6" fillId="2" borderId="0" xfId="20" applyNumberFormat="1" applyFont="1" applyFill="1" applyBorder="1" applyAlignment="1">
      <alignment/>
    </xf>
    <xf numFmtId="198" fontId="6" fillId="0" borderId="0" xfId="15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 indent="1"/>
    </xf>
    <xf numFmtId="175" fontId="6" fillId="0" borderId="0" xfId="20" applyNumberFormat="1" applyFont="1" applyFill="1" applyBorder="1" applyAlignment="1">
      <alignment/>
    </xf>
    <xf numFmtId="184" fontId="6" fillId="0" borderId="4" xfId="0" applyNumberFormat="1" applyFont="1" applyBorder="1" applyAlignment="1">
      <alignment/>
    </xf>
    <xf numFmtId="198" fontId="6" fillId="0" borderId="10" xfId="15" applyNumberFormat="1" applyFont="1" applyBorder="1" applyAlignment="1">
      <alignment/>
    </xf>
    <xf numFmtId="198" fontId="6" fillId="0" borderId="10" xfId="15" applyNumberFormat="1" applyFont="1" applyFill="1" applyBorder="1" applyAlignment="1">
      <alignment/>
    </xf>
    <xf numFmtId="198" fontId="6" fillId="0" borderId="5" xfId="15" applyNumberFormat="1" applyFont="1" applyBorder="1" applyAlignment="1">
      <alignment/>
    </xf>
    <xf numFmtId="43" fontId="6" fillId="0" borderId="0" xfId="15" applyFont="1" applyBorder="1" applyAlignment="1">
      <alignment/>
    </xf>
    <xf numFmtId="183" fontId="6" fillId="0" borderId="4" xfId="20" applyNumberFormat="1" applyFont="1" applyBorder="1" applyAlignment="1">
      <alignment/>
    </xf>
    <xf numFmtId="0" fontId="29" fillId="11" borderId="11" xfId="0" applyFont="1" applyFill="1" applyBorder="1" applyAlignment="1">
      <alignment horizontal="center"/>
    </xf>
    <xf numFmtId="0" fontId="29" fillId="11" borderId="6" xfId="0" applyFont="1" applyFill="1" applyBorder="1" applyAlignment="1">
      <alignment horizontal="left"/>
    </xf>
    <xf numFmtId="175" fontId="29" fillId="11" borderId="1" xfId="20" applyNumberFormat="1" applyFont="1" applyFill="1" applyBorder="1" applyAlignment="1">
      <alignment horizontal="centerContinuous"/>
    </xf>
    <xf numFmtId="10" fontId="29" fillId="11" borderId="1" xfId="20" applyNumberFormat="1" applyFont="1" applyFill="1" applyBorder="1" applyAlignment="1">
      <alignment horizontal="centerContinuous"/>
    </xf>
    <xf numFmtId="10" fontId="29" fillId="11" borderId="9" xfId="20" applyNumberFormat="1" applyFont="1" applyFill="1" applyBorder="1" applyAlignment="1">
      <alignment horizontal="centerContinuous"/>
    </xf>
    <xf numFmtId="0" fontId="29" fillId="11" borderId="3" xfId="0" applyFont="1" applyFill="1" applyBorder="1" applyAlignment="1">
      <alignment horizontal="center" wrapText="1"/>
    </xf>
    <xf numFmtId="0" fontId="30" fillId="10" borderId="1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31" fillId="10" borderId="13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10" fontId="29" fillId="11" borderId="1" xfId="20" applyNumberFormat="1" applyFont="1" applyFill="1" applyBorder="1" applyAlignment="1">
      <alignment horizontal="center" wrapText="1"/>
    </xf>
    <xf numFmtId="0" fontId="37" fillId="11" borderId="3" xfId="0" applyFont="1" applyFill="1" applyBorder="1" applyAlignment="1">
      <alignment wrapText="1"/>
    </xf>
    <xf numFmtId="0" fontId="29" fillId="11" borderId="15" xfId="0" applyFont="1" applyFill="1" applyBorder="1" applyAlignment="1">
      <alignment horizontal="center" wrapText="1"/>
    </xf>
    <xf numFmtId="0" fontId="37" fillId="11" borderId="8" xfId="0" applyFont="1" applyFill="1" applyBorder="1" applyAlignment="1">
      <alignment wrapText="1"/>
    </xf>
    <xf numFmtId="0" fontId="29" fillId="11" borderId="2" xfId="0" applyFont="1" applyFill="1" applyBorder="1" applyAlignment="1">
      <alignment horizontal="center" wrapText="1"/>
    </xf>
    <xf numFmtId="0" fontId="37" fillId="11" borderId="4" xfId="0" applyFont="1" applyFill="1" applyBorder="1" applyAlignment="1">
      <alignment horizontal="center" wrapText="1"/>
    </xf>
    <xf numFmtId="0" fontId="37" fillId="11" borderId="8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Income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Annual Income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Income'!$B$6:$B$37</c:f>
              <c:numCache>
                <c:ptCount val="32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</c:numCache>
            </c:numRef>
          </c:cat>
          <c:val>
            <c:numRef>
              <c:f>'Net Income'!$G$6:$G$43</c:f>
              <c:numCache>
                <c:ptCount val="38"/>
                <c:pt idx="0">
                  <c:v>63474.28081014555</c:v>
                </c:pt>
                <c:pt idx="1">
                  <c:v>64856.40280923574</c:v>
                </c:pt>
                <c:pt idx="2">
                  <c:v>66440.20961173998</c:v>
                </c:pt>
                <c:pt idx="3">
                  <c:v>68067.51587287079</c:v>
                </c:pt>
                <c:pt idx="4">
                  <c:v>70028.94542424717</c:v>
                </c:pt>
                <c:pt idx="5">
                  <c:v>72044.75331702239</c:v>
                </c:pt>
                <c:pt idx="6">
                  <c:v>72918.742978614</c:v>
                </c:pt>
                <c:pt idx="7">
                  <c:v>75047.97773893033</c:v>
                </c:pt>
                <c:pt idx="8">
                  <c:v>77237.00329230246</c:v>
                </c:pt>
                <c:pt idx="9">
                  <c:v>17046.86963062824</c:v>
                </c:pt>
                <c:pt idx="10">
                  <c:v>33750.876097636086</c:v>
                </c:pt>
                <c:pt idx="11">
                  <c:v>43575.43644831688</c:v>
                </c:pt>
                <c:pt idx="12">
                  <c:v>43926.50601850936</c:v>
                </c:pt>
                <c:pt idx="13">
                  <c:v>52262.59072328532</c:v>
                </c:pt>
                <c:pt idx="14">
                  <c:v>52898.88464472375</c:v>
                </c:pt>
                <c:pt idx="15">
                  <c:v>100479.92485667393</c:v>
                </c:pt>
                <c:pt idx="16">
                  <c:v>62168.28631268427</c:v>
                </c:pt>
                <c:pt idx="17">
                  <c:v>64643.73538790996</c:v>
                </c:pt>
                <c:pt idx="18">
                  <c:v>64318.6406575691</c:v>
                </c:pt>
                <c:pt idx="19">
                  <c:v>64029.955374497455</c:v>
                </c:pt>
                <c:pt idx="20">
                  <c:v>64720.81632248059</c:v>
                </c:pt>
                <c:pt idx="21">
                  <c:v>65587.20474546007</c:v>
                </c:pt>
                <c:pt idx="22">
                  <c:v>66513.39711947563</c:v>
                </c:pt>
                <c:pt idx="23">
                  <c:v>71012.86243693788</c:v>
                </c:pt>
                <c:pt idx="24">
                  <c:v>69394.60177325075</c:v>
                </c:pt>
                <c:pt idx="25">
                  <c:v>69481.92514688282</c:v>
                </c:pt>
                <c:pt idx="26">
                  <c:v>72188.81661399393</c:v>
                </c:pt>
                <c:pt idx="27">
                  <c:v>71864.14364273712</c:v>
                </c:pt>
                <c:pt idx="28">
                  <c:v>73351.04453644072</c:v>
                </c:pt>
                <c:pt idx="29">
                  <c:v>74913.0954796608</c:v>
                </c:pt>
                <c:pt idx="30">
                  <c:v>76555.15207737366</c:v>
                </c:pt>
                <c:pt idx="31">
                  <c:v>78277.11873602691</c:v>
                </c:pt>
                <c:pt idx="32">
                  <c:v>80080.3045779397</c:v>
                </c:pt>
                <c:pt idx="33">
                  <c:v>81962.64399646455</c:v>
                </c:pt>
                <c:pt idx="34">
                  <c:v>83873.71459225251</c:v>
                </c:pt>
                <c:pt idx="35">
                  <c:v>85874.82793263109</c:v>
                </c:pt>
                <c:pt idx="36">
                  <c:v>87967.30058529074</c:v>
                </c:pt>
                <c:pt idx="37">
                  <c:v>90146.83754279208</c:v>
                </c:pt>
              </c:numCache>
            </c:numRef>
          </c:val>
          <c:smooth val="0"/>
        </c:ser>
        <c:axId val="40501515"/>
        <c:axId val="28969316"/>
      </c:lineChart>
      <c:cat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969316"/>
        <c:crosses val="autoZero"/>
        <c:auto val="1"/>
        <c:lblOffset val="100"/>
        <c:tickLblSkip val="5"/>
        <c:noMultiLvlLbl val="0"/>
      </c:catAx>
      <c:valAx>
        <c:axId val="2896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Expenses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Annual Expenses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 Income'!$B$6:$B$41</c:f>
              <c:numCache>
                <c:ptCount val="36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</c:numCache>
            </c:numRef>
          </c:cat>
          <c:val>
            <c:numRef>
              <c:f>Expenses!$AM$9:$AM$44</c:f>
              <c:numCache>
                <c:ptCount val="36"/>
                <c:pt idx="0">
                  <c:v>62588.09219834878</c:v>
                </c:pt>
                <c:pt idx="1">
                  <c:v>63937.664751028795</c:v>
                </c:pt>
                <c:pt idx="2">
                  <c:v>65387.47874185039</c:v>
                </c:pt>
                <c:pt idx="3">
                  <c:v>59144.90645932397</c:v>
                </c:pt>
                <c:pt idx="4">
                  <c:v>60714.92839811946</c:v>
                </c:pt>
                <c:pt idx="5">
                  <c:v>88536.89325459911</c:v>
                </c:pt>
                <c:pt idx="6">
                  <c:v>62842.082483016944</c:v>
                </c:pt>
                <c:pt idx="7">
                  <c:v>64543.509164844974</c:v>
                </c:pt>
                <c:pt idx="8">
                  <c:v>69723.3529837695</c:v>
                </c:pt>
                <c:pt idx="9">
                  <c:v>50206.08757728884</c:v>
                </c:pt>
                <c:pt idx="10">
                  <c:v>53054.001509347545</c:v>
                </c:pt>
                <c:pt idx="11">
                  <c:v>55898.13872250096</c:v>
                </c:pt>
                <c:pt idx="12">
                  <c:v>56957.75172233534</c:v>
                </c:pt>
                <c:pt idx="13">
                  <c:v>59095.785030765524</c:v>
                </c:pt>
                <c:pt idx="14">
                  <c:v>60625.97863909842</c:v>
                </c:pt>
                <c:pt idx="15">
                  <c:v>106820.4706328539</c:v>
                </c:pt>
                <c:pt idx="16">
                  <c:v>64438.520339800976</c:v>
                </c:pt>
                <c:pt idx="17">
                  <c:v>65637.65429837452</c:v>
                </c:pt>
                <c:pt idx="18">
                  <c:v>64987.32050823429</c:v>
                </c:pt>
                <c:pt idx="19">
                  <c:v>64294.91609995509</c:v>
                </c:pt>
                <c:pt idx="20">
                  <c:v>63919.718438861906</c:v>
                </c:pt>
                <c:pt idx="21">
                  <c:v>63569.95287463598</c:v>
                </c:pt>
                <c:pt idx="22">
                  <c:v>63290.04833936488</c:v>
                </c:pt>
                <c:pt idx="23">
                  <c:v>64048.89696026827</c:v>
                </c:pt>
                <c:pt idx="24">
                  <c:v>63114.26160483472</c:v>
                </c:pt>
                <c:pt idx="25">
                  <c:v>62844.72134915441</c:v>
                </c:pt>
                <c:pt idx="26">
                  <c:v>63345.30948731114</c:v>
                </c:pt>
                <c:pt idx="27">
                  <c:v>59128.14906997456</c:v>
                </c:pt>
                <c:pt idx="28">
                  <c:v>59151.916779168656</c:v>
                </c:pt>
                <c:pt idx="29">
                  <c:v>59230.73724612614</c:v>
                </c:pt>
                <c:pt idx="30">
                  <c:v>59363.93113966855</c:v>
                </c:pt>
                <c:pt idx="31">
                  <c:v>59556.66124414387</c:v>
                </c:pt>
                <c:pt idx="32">
                  <c:v>59811.62860545154</c:v>
                </c:pt>
                <c:pt idx="33">
                  <c:v>60118.979709443905</c:v>
                </c:pt>
                <c:pt idx="34">
                  <c:v>60459.75179527</c:v>
                </c:pt>
                <c:pt idx="35">
                  <c:v>60850.990302758946</c:v>
                </c:pt>
              </c:numCache>
            </c:numRef>
          </c:val>
          <c:smooth val="0"/>
        </c:ser>
        <c:axId val="59397253"/>
        <c:axId val="64813230"/>
      </c:lineChart>
      <c:cat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auto val="1"/>
        <c:lblOffset val="100"/>
        <c:tickLblSkip val="5"/>
        <c:noMultiLvlLbl val="0"/>
      </c:catAx>
      <c:valAx>
        <c:axId val="6481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Expenses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Annual Expenses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Expenses!$AK$9:$AK$39</c:f>
              <c:numCache>
                <c:ptCount val="31"/>
                <c:pt idx="0">
                  <c:v>1926</c:v>
                </c:pt>
                <c:pt idx="1">
                  <c:v>1974.15</c:v>
                </c:pt>
                <c:pt idx="2">
                  <c:v>2023.5037499999992</c:v>
                </c:pt>
                <c:pt idx="3">
                  <c:v>2074.091343749999</c:v>
                </c:pt>
                <c:pt idx="4">
                  <c:v>2125.943627343749</c:v>
                </c:pt>
                <c:pt idx="5">
                  <c:v>2179.0922180273424</c:v>
                </c:pt>
                <c:pt idx="6">
                  <c:v>2233.569523478026</c:v>
                </c:pt>
                <c:pt idx="7">
                  <c:v>2289.4087615649764</c:v>
                </c:pt>
                <c:pt idx="8">
                  <c:v>2346.6439806041008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448159"/>
        <c:axId val="15380248"/>
      </c:line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tickLblSkip val="5"/>
        <c:noMultiLvlLbl val="0"/>
      </c:catAx>
      <c:valAx>
        <c:axId val="1538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At val="1"/>
        <c:crossBetween val="between"/>
        <c:dispUnits/>
      </c:valAx>
      <c:spPr>
        <a:solidFill>
          <a:srgbClr val="CC99FF"/>
        </a:solidFill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915"/>
          <c:w val="0.8685"/>
          <c:h val="0.65625"/>
        </c:manualLayout>
      </c:layout>
      <c:lineChart>
        <c:grouping val="standard"/>
        <c:varyColors val="0"/>
        <c:ser>
          <c:idx val="0"/>
          <c:order val="0"/>
          <c:tx>
            <c:v>Registered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'Assets Total'!$C$6:$C$43</c:f>
              <c:numCache>
                <c:ptCount val="3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</c:numCache>
            </c:numRef>
          </c:cat>
          <c:val>
            <c:numRef>
              <c:f>'Assets Total'!$F$6:$F$43</c:f>
              <c:numCache>
                <c:ptCount val="38"/>
                <c:pt idx="0">
                  <c:v>91948.17398565888</c:v>
                </c:pt>
                <c:pt idx="1">
                  <c:v>97118.13331095783</c:v>
                </c:pt>
                <c:pt idx="2">
                  <c:v>102405.23940142014</c:v>
                </c:pt>
                <c:pt idx="3">
                  <c:v>107915.79277432674</c:v>
                </c:pt>
                <c:pt idx="4">
                  <c:v>113658.31475126624</c:v>
                </c:pt>
                <c:pt idx="5">
                  <c:v>119641.63485459387</c:v>
                </c:pt>
                <c:pt idx="6">
                  <c:v>125852.63774687218</c:v>
                </c:pt>
                <c:pt idx="7">
                  <c:v>132320.36687612435</c:v>
                </c:pt>
                <c:pt idx="8">
                  <c:v>139054.4658946163</c:v>
                </c:pt>
                <c:pt idx="9">
                  <c:v>143659.61305424402</c:v>
                </c:pt>
                <c:pt idx="10">
                  <c:v>130719.17137301521</c:v>
                </c:pt>
                <c:pt idx="11">
                  <c:v>135064.6328136174</c:v>
                </c:pt>
                <c:pt idx="12">
                  <c:v>139556.3538336656</c:v>
                </c:pt>
                <c:pt idx="13">
                  <c:v>144199.31831065175</c:v>
                </c:pt>
                <c:pt idx="14">
                  <c:v>148998.68199177156</c:v>
                </c:pt>
                <c:pt idx="15">
                  <c:v>107059.77848826752</c:v>
                </c:pt>
                <c:pt idx="16">
                  <c:v>102738.6254810362</c:v>
                </c:pt>
                <c:pt idx="17">
                  <c:v>96701.60239501743</c:v>
                </c:pt>
                <c:pt idx="18">
                  <c:v>91711.46786190478</c:v>
                </c:pt>
                <c:pt idx="19">
                  <c:v>87811.52202451784</c:v>
                </c:pt>
                <c:pt idx="20">
                  <c:v>84074.34624003406</c:v>
                </c:pt>
                <c:pt idx="21">
                  <c:v>80386.95111681285</c:v>
                </c:pt>
                <c:pt idx="22">
                  <c:v>76754.59388706423</c:v>
                </c:pt>
                <c:pt idx="23">
                  <c:v>69669.1845532982</c:v>
                </c:pt>
                <c:pt idx="24">
                  <c:v>65303.72947402782</c:v>
                </c:pt>
                <c:pt idx="25">
                  <c:v>62027.53423372589</c:v>
                </c:pt>
                <c:pt idx="26">
                  <c:v>57286.34013367417</c:v>
                </c:pt>
                <c:pt idx="27">
                  <c:v>54158.83367396417</c:v>
                </c:pt>
                <c:pt idx="28">
                  <c:v>51059.59539812977</c:v>
                </c:pt>
                <c:pt idx="29">
                  <c:v>47989.45698134652</c:v>
                </c:pt>
                <c:pt idx="30">
                  <c:v>44945.54009386522</c:v>
                </c:pt>
                <c:pt idx="31">
                  <c:v>41926.29270206167</c:v>
                </c:pt>
                <c:pt idx="32">
                  <c:v>38929.9422164984</c:v>
                </c:pt>
                <c:pt idx="33">
                  <c:v>35452.32073780328</c:v>
                </c:pt>
                <c:pt idx="34">
                  <c:v>32093.05305112899</c:v>
                </c:pt>
                <c:pt idx="35">
                  <c:v>28843.57405567878</c:v>
                </c:pt>
                <c:pt idx="36">
                  <c:v>25695.8331384829</c:v>
                </c:pt>
                <c:pt idx="37">
                  <c:v>22644.548175768858</c:v>
                </c:pt>
              </c:numCache>
            </c:numRef>
          </c:val>
          <c:smooth val="0"/>
        </c:ser>
        <c:ser>
          <c:idx val="1"/>
          <c:order val="1"/>
          <c:tx>
            <c:v>Non Registered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'Assets Total'!$C$6:$C$43</c:f>
              <c:numCache>
                <c:ptCount val="3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</c:numCache>
            </c:numRef>
          </c:cat>
          <c:val>
            <c:numRef>
              <c:f>'Assets Total'!$I$6:$I$43</c:f>
              <c:numCache>
                <c:ptCount val="38"/>
                <c:pt idx="0">
                  <c:v>71386.18861179677</c:v>
                </c:pt>
                <c:pt idx="1">
                  <c:v>72304.92667000373</c:v>
                </c:pt>
                <c:pt idx="2">
                  <c:v>73357.65753989329</c:v>
                </c:pt>
                <c:pt idx="3">
                  <c:v>82280.26695344014</c:v>
                </c:pt>
                <c:pt idx="4">
                  <c:v>91594.28397956784</c:v>
                </c:pt>
                <c:pt idx="5">
                  <c:v>75102.14404199111</c:v>
                </c:pt>
                <c:pt idx="6">
                  <c:v>85178.80453758815</c:v>
                </c:pt>
                <c:pt idx="7">
                  <c:v>95683.2731116735</c:v>
                </c:pt>
                <c:pt idx="8">
                  <c:v>103196.92342020645</c:v>
                </c:pt>
                <c:pt idx="9">
                  <c:v>70037.70547354587</c:v>
                </c:pt>
                <c:pt idx="10">
                  <c:v>50734.58006183441</c:v>
                </c:pt>
                <c:pt idx="11">
                  <c:v>38411.87778765033</c:v>
                </c:pt>
                <c:pt idx="12">
                  <c:v>25380.63208382435</c:v>
                </c:pt>
                <c:pt idx="13">
                  <c:v>18547.437776344144</c:v>
                </c:pt>
                <c:pt idx="14">
                  <c:v>10820.34378196947</c:v>
                </c:pt>
                <c:pt idx="15">
                  <c:v>4479.798005789506</c:v>
                </c:pt>
                <c:pt idx="16">
                  <c:v>2209.5639786727957</c:v>
                </c:pt>
                <c:pt idx="17">
                  <c:v>1215.6450682082364</c:v>
                </c:pt>
                <c:pt idx="18">
                  <c:v>546.9652175430483</c:v>
                </c:pt>
                <c:pt idx="19">
                  <c:v>282.00449208541795</c:v>
                </c:pt>
                <c:pt idx="20">
                  <c:v>1083.102375704107</c:v>
                </c:pt>
                <c:pt idx="21">
                  <c:v>3100.3542465281967</c:v>
                </c:pt>
                <c:pt idx="22">
                  <c:v>6323.703026638943</c:v>
                </c:pt>
                <c:pt idx="23">
                  <c:v>13287.66850330856</c:v>
                </c:pt>
                <c:pt idx="24">
                  <c:v>19568.008671724587</c:v>
                </c:pt>
                <c:pt idx="25">
                  <c:v>26205.21246945298</c:v>
                </c:pt>
                <c:pt idx="26">
                  <c:v>35048.71959613577</c:v>
                </c:pt>
                <c:pt idx="27">
                  <c:v>47784.71416889833</c:v>
                </c:pt>
                <c:pt idx="28">
                  <c:v>61983.84192617038</c:v>
                </c:pt>
                <c:pt idx="29">
                  <c:v>77666.20015970507</c:v>
                </c:pt>
                <c:pt idx="30">
                  <c:v>94857.42109741017</c:v>
                </c:pt>
                <c:pt idx="31">
                  <c:v>113577.87858929322</c:v>
                </c:pt>
                <c:pt idx="32">
                  <c:v>133846.55456178144</c:v>
                </c:pt>
                <c:pt idx="33">
                  <c:v>155690.21884880206</c:v>
                </c:pt>
                <c:pt idx="34">
                  <c:v>179105.06914578454</c:v>
                </c:pt>
                <c:pt idx="35">
                  <c:v>204130.56485100844</c:v>
                </c:pt>
                <c:pt idx="36">
                  <c:v>230716.31069930334</c:v>
                </c:pt>
                <c:pt idx="37">
                  <c:v>258887.41364975108</c:v>
                </c:pt>
              </c:numCache>
            </c:numRef>
          </c:val>
          <c:smooth val="0"/>
        </c:ser>
        <c:ser>
          <c:idx val="2"/>
          <c:order val="2"/>
          <c:tx>
            <c:v>Total Assets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'Assets Total'!$C$6:$C$43</c:f>
              <c:numCache>
                <c:ptCount val="3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</c:numCache>
            </c:numRef>
          </c:cat>
          <c:val>
            <c:numRef>
              <c:f>'Assets Total'!$J$6:$J$43</c:f>
              <c:numCache>
                <c:ptCount val="38"/>
                <c:pt idx="0">
                  <c:v>163334.36259745565</c:v>
                </c:pt>
                <c:pt idx="1">
                  <c:v>169423.05998096155</c:v>
                </c:pt>
                <c:pt idx="2">
                  <c:v>175762.89694131343</c:v>
                </c:pt>
                <c:pt idx="3">
                  <c:v>190196.05972776687</c:v>
                </c:pt>
                <c:pt idx="4">
                  <c:v>205252.59873083408</c:v>
                </c:pt>
                <c:pt idx="5">
                  <c:v>194743.778896585</c:v>
                </c:pt>
                <c:pt idx="6">
                  <c:v>211031.44228446033</c:v>
                </c:pt>
                <c:pt idx="7">
                  <c:v>228003.63998779783</c:v>
                </c:pt>
                <c:pt idx="8">
                  <c:v>242251.38931482274</c:v>
                </c:pt>
                <c:pt idx="9">
                  <c:v>213697.3185277899</c:v>
                </c:pt>
                <c:pt idx="10">
                  <c:v>181453.75143484963</c:v>
                </c:pt>
                <c:pt idx="11">
                  <c:v>173476.51060126774</c:v>
                </c:pt>
                <c:pt idx="12">
                  <c:v>164936.98591748995</c:v>
                </c:pt>
                <c:pt idx="13">
                  <c:v>162746.75608699588</c:v>
                </c:pt>
                <c:pt idx="14">
                  <c:v>159819.02577374104</c:v>
                </c:pt>
                <c:pt idx="15">
                  <c:v>111539.57649405702</c:v>
                </c:pt>
                <c:pt idx="16">
                  <c:v>104948.189459709</c:v>
                </c:pt>
                <c:pt idx="17">
                  <c:v>97917.24746322566</c:v>
                </c:pt>
                <c:pt idx="18">
                  <c:v>92258.43307944783</c:v>
                </c:pt>
                <c:pt idx="19">
                  <c:v>88093.52651660325</c:v>
                </c:pt>
                <c:pt idx="20">
                  <c:v>85157.44861573818</c:v>
                </c:pt>
                <c:pt idx="21">
                  <c:v>83487.30536334105</c:v>
                </c:pt>
                <c:pt idx="22">
                  <c:v>83078.29691370318</c:v>
                </c:pt>
                <c:pt idx="23">
                  <c:v>82956.85305660675</c:v>
                </c:pt>
                <c:pt idx="24">
                  <c:v>84871.7381457524</c:v>
                </c:pt>
                <c:pt idx="25">
                  <c:v>88232.74670317887</c:v>
                </c:pt>
                <c:pt idx="26">
                  <c:v>92335.05972980995</c:v>
                </c:pt>
                <c:pt idx="27">
                  <c:v>101943.54784286249</c:v>
                </c:pt>
                <c:pt idx="28">
                  <c:v>113043.43732430015</c:v>
                </c:pt>
                <c:pt idx="29">
                  <c:v>125655.65714105159</c:v>
                </c:pt>
                <c:pt idx="30">
                  <c:v>139802.9611912754</c:v>
                </c:pt>
                <c:pt idx="31">
                  <c:v>155504.1712913549</c:v>
                </c:pt>
                <c:pt idx="32">
                  <c:v>172776.49677827983</c:v>
                </c:pt>
                <c:pt idx="33">
                  <c:v>191142.53958660533</c:v>
                </c:pt>
                <c:pt idx="34">
                  <c:v>211198.12219691352</c:v>
                </c:pt>
                <c:pt idx="35">
                  <c:v>232974.1389066872</c:v>
                </c:pt>
                <c:pt idx="36">
                  <c:v>256412.14383778625</c:v>
                </c:pt>
                <c:pt idx="37">
                  <c:v>281531.9618255199</c:v>
                </c:pt>
              </c:numCache>
            </c:numRef>
          </c:val>
          <c:smooth val="0"/>
        </c:ser>
        <c:axId val="4204505"/>
        <c:axId val="37840546"/>
      </c:lineChart>
      <c:catAx>
        <c:axId val="420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auto val="1"/>
        <c:lblOffset val="100"/>
        <c:tickLblSkip val="5"/>
        <c:noMultiLvlLbl val="0"/>
      </c:cat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At val="1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>
        <c:manualLayout>
          <c:xMode val="edge"/>
          <c:yMode val="edge"/>
          <c:x val="0.74275"/>
          <c:y val="0.02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Asset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915"/>
          <c:w val="0.868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v>Registered</c:v>
          </c:tx>
          <c:spPr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4"/>
                <c:pt idx="0">
                  <c:v>53.125</c:v>
                </c:pt>
                <c:pt idx="1">
                  <c:v>54.125</c:v>
                </c:pt>
                <c:pt idx="2">
                  <c:v>55.125</c:v>
                </c:pt>
                <c:pt idx="3">
                  <c:v>56.125</c:v>
                </c:pt>
                <c:pt idx="4">
                  <c:v>57.125</c:v>
                </c:pt>
                <c:pt idx="5">
                  <c:v>58.125</c:v>
                </c:pt>
                <c:pt idx="6">
                  <c:v>59.125</c:v>
                </c:pt>
                <c:pt idx="7">
                  <c:v>60.125</c:v>
                </c:pt>
                <c:pt idx="8">
                  <c:v>61.125</c:v>
                </c:pt>
                <c:pt idx="9">
                  <c:v>62.125</c:v>
                </c:pt>
                <c:pt idx="10">
                  <c:v>63.125</c:v>
                </c:pt>
                <c:pt idx="11">
                  <c:v>64.125</c:v>
                </c:pt>
                <c:pt idx="12">
                  <c:v>65.125</c:v>
                </c:pt>
                <c:pt idx="13">
                  <c:v>66.125</c:v>
                </c:pt>
                <c:pt idx="14">
                  <c:v>67.125</c:v>
                </c:pt>
                <c:pt idx="15">
                  <c:v>68.125</c:v>
                </c:pt>
                <c:pt idx="16">
                  <c:v>69.125</c:v>
                </c:pt>
                <c:pt idx="17">
                  <c:v>70.125</c:v>
                </c:pt>
                <c:pt idx="18">
                  <c:v>71.125</c:v>
                </c:pt>
                <c:pt idx="19">
                  <c:v>72.125</c:v>
                </c:pt>
                <c:pt idx="20">
                  <c:v>73.125</c:v>
                </c:pt>
                <c:pt idx="21">
                  <c:v>74.125</c:v>
                </c:pt>
                <c:pt idx="22">
                  <c:v>75.125</c:v>
                </c:pt>
                <c:pt idx="23">
                  <c:v>76.125</c:v>
                </c:pt>
                <c:pt idx="24">
                  <c:v>77.125</c:v>
                </c:pt>
                <c:pt idx="25">
                  <c:v>78.125</c:v>
                </c:pt>
                <c:pt idx="26">
                  <c:v>79.125</c:v>
                </c:pt>
                <c:pt idx="27">
                  <c:v>80.125</c:v>
                </c:pt>
                <c:pt idx="28">
                  <c:v>81.125</c:v>
                </c:pt>
                <c:pt idx="29">
                  <c:v>82.125</c:v>
                </c:pt>
                <c:pt idx="30">
                  <c:v>83.125</c:v>
                </c:pt>
                <c:pt idx="31">
                  <c:v>84.125</c:v>
                </c:pt>
                <c:pt idx="32">
                  <c:v>85.125</c:v>
                </c:pt>
                <c:pt idx="33">
                  <c:v>86.125</c:v>
                </c:pt>
              </c:numCache>
            </c:numRef>
          </c:cat>
          <c:val>
            <c:numRef>
              <c:f>'Assets Total'!$O$6:$O$38</c:f>
              <c:numCache>
                <c:ptCount val="35"/>
                <c:pt idx="1">
                  <c:v>5309.678206215773</c:v>
                </c:pt>
                <c:pt idx="2">
                  <c:v>5476.580576257547</c:v>
                </c:pt>
                <c:pt idx="3">
                  <c:v>5751.900380473584</c:v>
                </c:pt>
                <c:pt idx="4">
                  <c:v>5977.114815532637</c:v>
                </c:pt>
                <c:pt idx="5">
                  <c:v>6268.337774442596</c:v>
                </c:pt>
                <c:pt idx="6">
                  <c:v>6572.489676467376</c:v>
                </c:pt>
                <c:pt idx="7">
                  <c:v>6890.1168799715815</c:v>
                </c:pt>
                <c:pt idx="8">
                  <c:v>6908.693789614859</c:v>
                </c:pt>
                <c:pt idx="9">
                  <c:v>1331.3060261999199</c:v>
                </c:pt>
                <c:pt idx="10">
                  <c:v>-5962.605656678876</c:v>
                </c:pt>
                <c:pt idx="11">
                  <c:v>-24637.626446937065</c:v>
                </c:pt>
                <c:pt idx="12">
                  <c:v>-40055.27488451626</c:v>
                </c:pt>
                <c:pt idx="13">
                  <c:v>-10086.436771057954</c:v>
                </c:pt>
                <c:pt idx="14">
                  <c:v>-7605.993016497887</c:v>
                </c:pt>
                <c:pt idx="15">
                  <c:v>1730.1367900394762</c:v>
                </c:pt>
                <c:pt idx="16">
                  <c:v>1798.3522456481442</c:v>
                </c:pt>
                <c:pt idx="17">
                  <c:v>-43280.70960357373</c:v>
                </c:pt>
                <c:pt idx="18">
                  <c:v>190.87369970201416</c:v>
                </c:pt>
                <c:pt idx="19">
                  <c:v>-114.69027879833902</c:v>
                </c:pt>
                <c:pt idx="20">
                  <c:v>-113.21021807545367</c:v>
                </c:pt>
                <c:pt idx="21">
                  <c:v>-161.34247779288398</c:v>
                </c:pt>
                <c:pt idx="22">
                  <c:v>-160.90084942444173</c:v>
                </c:pt>
                <c:pt idx="23">
                  <c:v>-160.9044160852709</c:v>
                </c:pt>
                <c:pt idx="24">
                  <c:v>-160.53679979516437</c:v>
                </c:pt>
                <c:pt idx="25">
                  <c:v>-160.54736797121586</c:v>
                </c:pt>
                <c:pt idx="26">
                  <c:v>-160.714332196344</c:v>
                </c:pt>
                <c:pt idx="27">
                  <c:v>-161.05455441257664</c:v>
                </c:pt>
                <c:pt idx="28">
                  <c:v>-161.46254153587324</c:v>
                </c:pt>
                <c:pt idx="29">
                  <c:v>-161.83612216920574</c:v>
                </c:pt>
                <c:pt idx="30">
                  <c:v>-162.62219183892557</c:v>
                </c:pt>
                <c:pt idx="31">
                  <c:v>-163.3558713444795</c:v>
                </c:pt>
                <c:pt idx="32">
                  <c:v>-164.22187052174468</c:v>
                </c:pt>
                <c:pt idx="33">
                  <c:v>-165.19884222011524</c:v>
                </c:pt>
                <c:pt idx="34">
                  <c:v>-166.28980281779195</c:v>
                </c:pt>
              </c:numCache>
            </c:numRef>
          </c:val>
        </c:ser>
        <c:ser>
          <c:idx val="1"/>
          <c:order val="1"/>
          <c:tx>
            <c:v>Non Registered</c:v>
          </c:tx>
          <c:spPr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4"/>
                <c:pt idx="0">
                  <c:v>53.125</c:v>
                </c:pt>
                <c:pt idx="1">
                  <c:v>54.125</c:v>
                </c:pt>
                <c:pt idx="2">
                  <c:v>55.125</c:v>
                </c:pt>
                <c:pt idx="3">
                  <c:v>56.125</c:v>
                </c:pt>
                <c:pt idx="4">
                  <c:v>57.125</c:v>
                </c:pt>
                <c:pt idx="5">
                  <c:v>58.125</c:v>
                </c:pt>
                <c:pt idx="6">
                  <c:v>59.125</c:v>
                </c:pt>
                <c:pt idx="7">
                  <c:v>60.125</c:v>
                </c:pt>
                <c:pt idx="8">
                  <c:v>61.125</c:v>
                </c:pt>
                <c:pt idx="9">
                  <c:v>62.125</c:v>
                </c:pt>
                <c:pt idx="10">
                  <c:v>63.125</c:v>
                </c:pt>
                <c:pt idx="11">
                  <c:v>64.125</c:v>
                </c:pt>
                <c:pt idx="12">
                  <c:v>65.125</c:v>
                </c:pt>
                <c:pt idx="13">
                  <c:v>66.125</c:v>
                </c:pt>
                <c:pt idx="14">
                  <c:v>67.125</c:v>
                </c:pt>
                <c:pt idx="15">
                  <c:v>68.125</c:v>
                </c:pt>
                <c:pt idx="16">
                  <c:v>69.125</c:v>
                </c:pt>
                <c:pt idx="17">
                  <c:v>70.125</c:v>
                </c:pt>
                <c:pt idx="18">
                  <c:v>71.125</c:v>
                </c:pt>
                <c:pt idx="19">
                  <c:v>72.125</c:v>
                </c:pt>
                <c:pt idx="20">
                  <c:v>73.125</c:v>
                </c:pt>
                <c:pt idx="21">
                  <c:v>74.125</c:v>
                </c:pt>
                <c:pt idx="22">
                  <c:v>75.125</c:v>
                </c:pt>
                <c:pt idx="23">
                  <c:v>76.125</c:v>
                </c:pt>
                <c:pt idx="24">
                  <c:v>77.125</c:v>
                </c:pt>
                <c:pt idx="25">
                  <c:v>78.125</c:v>
                </c:pt>
                <c:pt idx="26">
                  <c:v>79.125</c:v>
                </c:pt>
                <c:pt idx="27">
                  <c:v>80.125</c:v>
                </c:pt>
                <c:pt idx="28">
                  <c:v>81.125</c:v>
                </c:pt>
                <c:pt idx="29">
                  <c:v>82.125</c:v>
                </c:pt>
                <c:pt idx="30">
                  <c:v>83.125</c:v>
                </c:pt>
                <c:pt idx="31">
                  <c:v>84.125</c:v>
                </c:pt>
                <c:pt idx="32">
                  <c:v>85.125</c:v>
                </c:pt>
                <c:pt idx="33">
                  <c:v>86.125</c:v>
                </c:pt>
              </c:numCache>
            </c:numRef>
          </c:cat>
          <c:val>
            <c:numRef>
              <c:f>'Assets Total'!$P$6:$P$38</c:f>
              <c:numCache>
                <c:ptCount val="35"/>
                <c:pt idx="1">
                  <c:v>-2969.203264949858</c:v>
                </c:pt>
                <c:pt idx="2">
                  <c:v>2887.4098225583293</c:v>
                </c:pt>
                <c:pt idx="3">
                  <c:v>3013.1027225628204</c:v>
                </c:pt>
                <c:pt idx="4">
                  <c:v>3199.7745902824972</c:v>
                </c:pt>
                <c:pt idx="5">
                  <c:v>11126.51928279105</c:v>
                </c:pt>
                <c:pt idx="6">
                  <c:v>12560.314558099039</c:v>
                </c:pt>
                <c:pt idx="7">
                  <c:v>-11673.617646239945</c:v>
                </c:pt>
                <c:pt idx="8">
                  <c:v>7275.635225247432</c:v>
                </c:pt>
                <c:pt idx="9">
                  <c:v>-38342.82898245462</c:v>
                </c:pt>
                <c:pt idx="10">
                  <c:v>-33734.046645222945</c:v>
                </c:pt>
                <c:pt idx="11">
                  <c:v>-19716.687244591616</c:v>
                </c:pt>
                <c:pt idx="12">
                  <c:v>-5979.384618686049</c:v>
                </c:pt>
                <c:pt idx="13">
                  <c:v>-1866.608931552878</c:v>
                </c:pt>
                <c:pt idx="14">
                  <c:v>-1868.4435575926136</c:v>
                </c:pt>
                <c:pt idx="15">
                  <c:v>-442.11518966863923</c:v>
                </c:pt>
                <c:pt idx="16">
                  <c:v>-405.82876647245257</c:v>
                </c:pt>
                <c:pt idx="17">
                  <c:v>-376.88007252151533</c:v>
                </c:pt>
                <c:pt idx="18">
                  <c:v>372.7983787784117</c:v>
                </c:pt>
                <c:pt idx="19">
                  <c:v>958.8187435842433</c:v>
                </c:pt>
                <c:pt idx="20">
                  <c:v>1318.376896604715</c:v>
                </c:pt>
                <c:pt idx="21">
                  <c:v>1716.0806913679126</c:v>
                </c:pt>
                <c:pt idx="22">
                  <c:v>2084.4883983852133</c:v>
                </c:pt>
                <c:pt idx="23">
                  <c:v>2457.483348603163</c:v>
                </c:pt>
                <c:pt idx="24">
                  <c:v>2834.616385377074</c:v>
                </c:pt>
                <c:pt idx="25">
                  <c:v>3216.5117248404167</c:v>
                </c:pt>
                <c:pt idx="26">
                  <c:v>3603.1186464915118</c:v>
                </c:pt>
                <c:pt idx="27">
                  <c:v>3994.545208262727</c:v>
                </c:pt>
                <c:pt idx="28">
                  <c:v>4390.809421675818</c:v>
                </c:pt>
                <c:pt idx="29">
                  <c:v>4791.925490777179</c:v>
                </c:pt>
                <c:pt idx="30">
                  <c:v>5198.278551787596</c:v>
                </c:pt>
                <c:pt idx="31">
                  <c:v>5609.618608492485</c:v>
                </c:pt>
                <c:pt idx="32">
                  <c:v>6026.135924043629</c:v>
                </c:pt>
                <c:pt idx="33">
                  <c:v>6447.8707211321525</c:v>
                </c:pt>
                <c:pt idx="34">
                  <c:v>6874.871513089747</c:v>
                </c:pt>
              </c:numCache>
            </c:numRef>
          </c:val>
        </c:ser>
        <c:ser>
          <c:idx val="2"/>
          <c:order val="2"/>
          <c:tx>
            <c:v>Total Assets</c:v>
          </c:tx>
          <c:spPr>
            <a:ln w="381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4"/>
                <c:pt idx="0">
                  <c:v>53.125</c:v>
                </c:pt>
                <c:pt idx="1">
                  <c:v>54.125</c:v>
                </c:pt>
                <c:pt idx="2">
                  <c:v>55.125</c:v>
                </c:pt>
                <c:pt idx="3">
                  <c:v>56.125</c:v>
                </c:pt>
                <c:pt idx="4">
                  <c:v>57.125</c:v>
                </c:pt>
                <c:pt idx="5">
                  <c:v>58.125</c:v>
                </c:pt>
                <c:pt idx="6">
                  <c:v>59.125</c:v>
                </c:pt>
                <c:pt idx="7">
                  <c:v>60.125</c:v>
                </c:pt>
                <c:pt idx="8">
                  <c:v>61.125</c:v>
                </c:pt>
                <c:pt idx="9">
                  <c:v>62.125</c:v>
                </c:pt>
                <c:pt idx="10">
                  <c:v>63.125</c:v>
                </c:pt>
                <c:pt idx="11">
                  <c:v>64.125</c:v>
                </c:pt>
                <c:pt idx="12">
                  <c:v>65.125</c:v>
                </c:pt>
                <c:pt idx="13">
                  <c:v>66.125</c:v>
                </c:pt>
                <c:pt idx="14">
                  <c:v>67.125</c:v>
                </c:pt>
                <c:pt idx="15">
                  <c:v>68.125</c:v>
                </c:pt>
                <c:pt idx="16">
                  <c:v>69.125</c:v>
                </c:pt>
                <c:pt idx="17">
                  <c:v>70.125</c:v>
                </c:pt>
                <c:pt idx="18">
                  <c:v>71.125</c:v>
                </c:pt>
                <c:pt idx="19">
                  <c:v>72.125</c:v>
                </c:pt>
                <c:pt idx="20">
                  <c:v>73.125</c:v>
                </c:pt>
                <c:pt idx="21">
                  <c:v>74.125</c:v>
                </c:pt>
                <c:pt idx="22">
                  <c:v>75.125</c:v>
                </c:pt>
                <c:pt idx="23">
                  <c:v>76.125</c:v>
                </c:pt>
                <c:pt idx="24">
                  <c:v>77.125</c:v>
                </c:pt>
                <c:pt idx="25">
                  <c:v>78.125</c:v>
                </c:pt>
                <c:pt idx="26">
                  <c:v>79.125</c:v>
                </c:pt>
                <c:pt idx="27">
                  <c:v>80.125</c:v>
                </c:pt>
                <c:pt idx="28">
                  <c:v>81.125</c:v>
                </c:pt>
                <c:pt idx="29">
                  <c:v>82.125</c:v>
                </c:pt>
                <c:pt idx="30">
                  <c:v>83.125</c:v>
                </c:pt>
                <c:pt idx="31">
                  <c:v>84.125</c:v>
                </c:pt>
                <c:pt idx="32">
                  <c:v>85.125</c:v>
                </c:pt>
                <c:pt idx="33">
                  <c:v>86.125</c:v>
                </c:pt>
              </c:numCache>
            </c:numRef>
          </c:cat>
          <c:val>
            <c:numRef>
              <c:f>'Assets Total'!$Q$6:$Q$38</c:f>
              <c:numCache>
                <c:ptCount val="35"/>
                <c:pt idx="1">
                  <c:v>2340.474941265944</c:v>
                </c:pt>
                <c:pt idx="2">
                  <c:v>8363.990398815862</c:v>
                </c:pt>
                <c:pt idx="3">
                  <c:v>8765.003103036404</c:v>
                </c:pt>
                <c:pt idx="4">
                  <c:v>9176.889405815135</c:v>
                </c:pt>
                <c:pt idx="5">
                  <c:v>17394.85705723366</c:v>
                </c:pt>
                <c:pt idx="6">
                  <c:v>19132.8042345664</c:v>
                </c:pt>
                <c:pt idx="7">
                  <c:v>-4783.500766268349</c:v>
                </c:pt>
                <c:pt idx="8">
                  <c:v>14184.329014862276</c:v>
                </c:pt>
                <c:pt idx="9">
                  <c:v>-37011.52295625469</c:v>
                </c:pt>
                <c:pt idx="10">
                  <c:v>-39696.652301901835</c:v>
                </c:pt>
                <c:pt idx="11">
                  <c:v>-44354.313691528674</c:v>
                </c:pt>
                <c:pt idx="12">
                  <c:v>-46034.6595032023</c:v>
                </c:pt>
                <c:pt idx="13">
                  <c:v>-11953.045702610834</c:v>
                </c:pt>
                <c:pt idx="14">
                  <c:v>-9474.436574090505</c:v>
                </c:pt>
                <c:pt idx="15">
                  <c:v>1288.021600370841</c:v>
                </c:pt>
                <c:pt idx="16">
                  <c:v>1392.5234791756884</c:v>
                </c:pt>
                <c:pt idx="17">
                  <c:v>-43657.58967609524</c:v>
                </c:pt>
                <c:pt idx="18">
                  <c:v>563.6720784804256</c:v>
                </c:pt>
                <c:pt idx="19">
                  <c:v>844.1284647859038</c:v>
                </c:pt>
                <c:pt idx="20">
                  <c:v>1205.1666785292618</c:v>
                </c:pt>
                <c:pt idx="21">
                  <c:v>1554.7382135750286</c:v>
                </c:pt>
                <c:pt idx="22">
                  <c:v>1923.5875489607715</c:v>
                </c:pt>
                <c:pt idx="23">
                  <c:v>2296.578932517892</c:v>
                </c:pt>
                <c:pt idx="24">
                  <c:v>2674.0795855819106</c:v>
                </c:pt>
                <c:pt idx="25">
                  <c:v>3055.964356869201</c:v>
                </c:pt>
                <c:pt idx="26">
                  <c:v>3442.404314295167</c:v>
                </c:pt>
                <c:pt idx="27">
                  <c:v>3833.490653850149</c:v>
                </c:pt>
                <c:pt idx="28">
                  <c:v>4229.346880139947</c:v>
                </c:pt>
                <c:pt idx="29">
                  <c:v>4630.089368607973</c:v>
                </c:pt>
                <c:pt idx="30">
                  <c:v>5035.656359948669</c:v>
                </c:pt>
                <c:pt idx="31">
                  <c:v>5446.262737148005</c:v>
                </c:pt>
                <c:pt idx="32">
                  <c:v>5861.914053521883</c:v>
                </c:pt>
                <c:pt idx="33">
                  <c:v>6282.671878912042</c:v>
                </c:pt>
                <c:pt idx="34">
                  <c:v>6708.581710271952</c:v>
                </c:pt>
              </c:numCache>
            </c:numRef>
          </c:val>
        </c:ser>
        <c:axId val="5020595"/>
        <c:axId val="45185356"/>
      </c:barChart>
      <c:cat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auto val="1"/>
        <c:lblOffset val="100"/>
        <c:tickLblSkip val="5"/>
        <c:noMultiLvlLbl val="0"/>
      </c:catAx>
      <c:valAx>
        <c:axId val="4518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>
        <c:manualLayout>
          <c:xMode val="edge"/>
          <c:yMode val="edge"/>
          <c:x val="0.7915"/>
          <c:y val="0.02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Asset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915"/>
          <c:w val="0.868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v>Total Assets</c:v>
          </c:tx>
          <c:spPr>
            <a:solidFill>
              <a:srgbClr val="008080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'Assets Total'!$C$6:$C$43</c:f>
              <c:numCache>
                <c:ptCount val="3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</c:numCache>
            </c:numRef>
          </c:cat>
          <c:val>
            <c:numRef>
              <c:f>'Assets Total'!$Q$6:$Q$43</c:f>
              <c:numCache>
                <c:ptCount val="38"/>
                <c:pt idx="1">
                  <c:v>6088.697383505903</c:v>
                </c:pt>
                <c:pt idx="2">
                  <c:v>6339.83696035188</c:v>
                </c:pt>
                <c:pt idx="3">
                  <c:v>14433.162786453438</c:v>
                </c:pt>
                <c:pt idx="4">
                  <c:v>15056.539003067213</c:v>
                </c:pt>
                <c:pt idx="5">
                  <c:v>-10508.819834249094</c:v>
                </c:pt>
                <c:pt idx="6">
                  <c:v>16287.663387875335</c:v>
                </c:pt>
                <c:pt idx="7">
                  <c:v>16972.1977033375</c:v>
                </c:pt>
                <c:pt idx="8">
                  <c:v>14247.74932702491</c:v>
                </c:pt>
                <c:pt idx="9">
                  <c:v>-28554.070787032833</c:v>
                </c:pt>
                <c:pt idx="10">
                  <c:v>-32243.56709294027</c:v>
                </c:pt>
                <c:pt idx="11">
                  <c:v>-7977.240833581891</c:v>
                </c:pt>
                <c:pt idx="12">
                  <c:v>-8539.524683777796</c:v>
                </c:pt>
                <c:pt idx="13">
                  <c:v>-2190.229830494063</c:v>
                </c:pt>
                <c:pt idx="14">
                  <c:v>-2927.7303132548404</c:v>
                </c:pt>
                <c:pt idx="15">
                  <c:v>-48279.44927968402</c:v>
                </c:pt>
                <c:pt idx="16">
                  <c:v>-6591.387034348023</c:v>
                </c:pt>
                <c:pt idx="17">
                  <c:v>-7030.941996483336</c:v>
                </c:pt>
                <c:pt idx="18">
                  <c:v>-5658.814383777833</c:v>
                </c:pt>
                <c:pt idx="19">
                  <c:v>-4164.906562844582</c:v>
                </c:pt>
                <c:pt idx="20">
                  <c:v>-2936.0779008650716</c:v>
                </c:pt>
                <c:pt idx="21">
                  <c:v>-1670.1432523971307</c:v>
                </c:pt>
                <c:pt idx="22">
                  <c:v>-409.0084496378695</c:v>
                </c:pt>
                <c:pt idx="23">
                  <c:v>-121.44385709642665</c:v>
                </c:pt>
                <c:pt idx="24">
                  <c:v>1914.8850891456532</c:v>
                </c:pt>
                <c:pt idx="25">
                  <c:v>3361.0085574264667</c:v>
                </c:pt>
                <c:pt idx="26">
                  <c:v>4102.313026631076</c:v>
                </c:pt>
                <c:pt idx="27">
                  <c:v>9608.488113052546</c:v>
                </c:pt>
                <c:pt idx="28">
                  <c:v>11099.889481437654</c:v>
                </c:pt>
                <c:pt idx="29">
                  <c:v>12612.219816751443</c:v>
                </c:pt>
                <c:pt idx="30">
                  <c:v>14147.3040502238</c:v>
                </c:pt>
                <c:pt idx="31">
                  <c:v>15701.210100079508</c:v>
                </c:pt>
                <c:pt idx="32">
                  <c:v>17272.325486924936</c:v>
                </c:pt>
                <c:pt idx="33">
                  <c:v>18366.042808325496</c:v>
                </c:pt>
                <c:pt idx="34">
                  <c:v>20055.582610308193</c:v>
                </c:pt>
                <c:pt idx="35">
                  <c:v>21776.016709773685</c:v>
                </c:pt>
                <c:pt idx="36">
                  <c:v>23438.004931099043</c:v>
                </c:pt>
                <c:pt idx="37">
                  <c:v>25119.817987733666</c:v>
                </c:pt>
              </c:numCache>
            </c:numRef>
          </c:val>
        </c:ser>
        <c:axId val="4015021"/>
        <c:axId val="36135190"/>
      </c:bar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auto val="1"/>
        <c:lblOffset val="100"/>
        <c:tickLblSkip val="5"/>
        <c:noMultiLvlLbl val="0"/>
      </c:catAx>
      <c:valAx>
        <c:axId val="3613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>
        <c:manualLayout>
          <c:xMode val="edge"/>
          <c:yMode val="edge"/>
          <c:x val="0.802"/>
          <c:y val="0.02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72961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466725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7153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571500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37242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730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730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730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9.00390625" style="0" customWidth="1"/>
    <col min="2" max="2" width="13.421875" style="0" customWidth="1"/>
    <col min="3" max="3" width="29.421875" style="0" customWidth="1"/>
    <col min="5" max="5" width="5.57421875" style="0" customWidth="1"/>
  </cols>
  <sheetData>
    <row r="1" spans="1:3" s="398" customFormat="1" ht="21" thickBot="1">
      <c r="A1" s="615" t="s">
        <v>322</v>
      </c>
      <c r="B1" s="616"/>
      <c r="C1" s="617"/>
    </row>
    <row r="2" spans="1:3" ht="13.5" thickBot="1">
      <c r="A2" s="624"/>
      <c r="B2" s="624"/>
      <c r="C2" s="624"/>
    </row>
    <row r="3" spans="1:3" ht="30" customHeight="1" thickBot="1">
      <c r="A3" s="618" t="s">
        <v>321</v>
      </c>
      <c r="B3" s="619"/>
      <c r="C3" s="620"/>
    </row>
    <row r="4" spans="1:3" ht="9" customHeight="1" thickBot="1">
      <c r="A4" s="624"/>
      <c r="B4" s="624"/>
      <c r="C4" s="624"/>
    </row>
    <row r="5" spans="1:3" ht="89.25" customHeight="1" thickBot="1">
      <c r="A5" s="618" t="s">
        <v>308</v>
      </c>
      <c r="B5" s="619"/>
      <c r="C5" s="620"/>
    </row>
    <row r="6" spans="1:3" ht="13.5" thickBot="1">
      <c r="A6" s="624"/>
      <c r="B6" s="624"/>
      <c r="C6" s="624"/>
    </row>
    <row r="7" spans="1:3" ht="16.5" thickBot="1">
      <c r="A7" s="621" t="s">
        <v>152</v>
      </c>
      <c r="B7" s="622"/>
      <c r="C7" s="623"/>
    </row>
    <row r="8" spans="1:3" ht="12.75">
      <c r="A8" s="231" t="s">
        <v>292</v>
      </c>
      <c r="B8" s="342"/>
      <c r="C8" s="232"/>
    </row>
    <row r="9" spans="1:3" ht="14.25">
      <c r="A9" s="68" t="s">
        <v>154</v>
      </c>
      <c r="B9" s="409" t="s">
        <v>323</v>
      </c>
      <c r="C9" s="195"/>
    </row>
    <row r="10" spans="1:3" ht="15.75">
      <c r="A10" s="68" t="s">
        <v>153</v>
      </c>
      <c r="B10" s="352" t="s">
        <v>285</v>
      </c>
      <c r="C10" s="353" t="s">
        <v>280</v>
      </c>
    </row>
    <row r="11" spans="1:5" ht="14.25">
      <c r="A11" s="68" t="s">
        <v>245</v>
      </c>
      <c r="B11" s="387">
        <v>54</v>
      </c>
      <c r="C11" s="195"/>
      <c r="E11" s="196"/>
    </row>
    <row r="12" spans="1:3" ht="14.25">
      <c r="A12" s="68" t="s">
        <v>155</v>
      </c>
      <c r="B12" s="351">
        <v>49000</v>
      </c>
      <c r="C12" s="195"/>
    </row>
    <row r="13" spans="1:3" ht="14.25">
      <c r="A13" s="68" t="s">
        <v>156</v>
      </c>
      <c r="B13" s="387">
        <v>63</v>
      </c>
      <c r="C13" s="195"/>
    </row>
    <row r="14" spans="1:3" ht="9" customHeight="1">
      <c r="A14" s="68" t="s">
        <v>1</v>
      </c>
      <c r="B14" s="69"/>
      <c r="C14" s="195"/>
    </row>
    <row r="15" spans="1:3" ht="15.75">
      <c r="A15" s="68" t="s">
        <v>157</v>
      </c>
      <c r="B15" s="352" t="s">
        <v>278</v>
      </c>
      <c r="C15" s="353" t="s">
        <v>280</v>
      </c>
    </row>
    <row r="16" spans="1:5" ht="14.25">
      <c r="A16" s="68" t="s">
        <v>246</v>
      </c>
      <c r="B16" s="387">
        <v>52</v>
      </c>
      <c r="C16" s="195"/>
      <c r="E16" s="196"/>
    </row>
    <row r="17" spans="1:5" ht="14.25">
      <c r="A17" s="68" t="str">
        <f>A12</f>
        <v>Annual income:</v>
      </c>
      <c r="B17" s="351">
        <v>10700</v>
      </c>
      <c r="C17" s="195"/>
      <c r="E17" s="196"/>
    </row>
    <row r="18" spans="1:5" ht="14.25">
      <c r="A18" s="68" t="str">
        <f>A13</f>
        <v>Termination of income:</v>
      </c>
      <c r="B18" s="387">
        <v>61</v>
      </c>
      <c r="C18" s="195"/>
      <c r="E18" s="196"/>
    </row>
    <row r="19" spans="1:3" ht="9" customHeight="1">
      <c r="A19" s="68"/>
      <c r="B19" s="69"/>
      <c r="C19" s="195"/>
    </row>
    <row r="20" spans="1:3" ht="15" thickBot="1">
      <c r="A20" s="73" t="s">
        <v>158</v>
      </c>
      <c r="B20" s="74" t="s">
        <v>279</v>
      </c>
      <c r="C20" s="343"/>
    </row>
    <row r="21" spans="1:3" ht="13.5" thickBot="1">
      <c r="A21" s="625"/>
      <c r="B21" s="625"/>
      <c r="C21" s="625"/>
    </row>
    <row r="22" spans="1:3" ht="16.5" thickBot="1">
      <c r="A22" s="621" t="s">
        <v>22</v>
      </c>
      <c r="B22" s="622"/>
      <c r="C22" s="623"/>
    </row>
    <row r="23" spans="1:3" ht="12.75">
      <c r="A23" s="231"/>
      <c r="B23" s="342"/>
      <c r="C23" s="232"/>
    </row>
    <row r="24" spans="1:3" ht="14.25">
      <c r="A24" s="386" t="s">
        <v>315</v>
      </c>
      <c r="B24" s="344"/>
      <c r="C24" s="78"/>
    </row>
    <row r="25" spans="1:3" ht="14.25">
      <c r="A25" s="68" t="s">
        <v>159</v>
      </c>
      <c r="B25" s="345">
        <f>'Assets Bill'!P7+'Assets Bill'!S7</f>
        <v>46000</v>
      </c>
      <c r="C25" s="195"/>
    </row>
    <row r="26" spans="1:3" ht="14.25">
      <c r="A26" s="68" t="s">
        <v>160</v>
      </c>
      <c r="B26" s="345">
        <f>'Assets Bill'!G7+'Assets Bill'!J7</f>
        <v>52000</v>
      </c>
      <c r="C26" s="195"/>
    </row>
    <row r="27" spans="1:3" ht="14.25">
      <c r="A27" s="386" t="s">
        <v>281</v>
      </c>
      <c r="B27" s="344"/>
      <c r="C27" s="195"/>
    </row>
    <row r="28" spans="1:3" ht="14.25">
      <c r="A28" s="68" t="s">
        <v>159</v>
      </c>
      <c r="B28" s="345">
        <v>24500</v>
      </c>
      <c r="C28" s="195"/>
    </row>
    <row r="29" spans="1:3" ht="14.25">
      <c r="A29" s="68" t="s">
        <v>160</v>
      </c>
      <c r="B29" s="345">
        <v>35000</v>
      </c>
      <c r="C29" s="195"/>
    </row>
    <row r="30" spans="1:3" ht="14.25">
      <c r="A30" s="68"/>
      <c r="B30" s="345"/>
      <c r="C30" s="195"/>
    </row>
    <row r="31" spans="1:3" ht="14.25">
      <c r="A31" s="68" t="s">
        <v>206</v>
      </c>
      <c r="B31" s="345">
        <v>224000</v>
      </c>
      <c r="C31" s="195"/>
    </row>
    <row r="32" spans="1:3" ht="15" thickBot="1">
      <c r="A32" s="73" t="s">
        <v>309</v>
      </c>
      <c r="B32" s="346">
        <v>9000</v>
      </c>
      <c r="C32" s="343"/>
    </row>
    <row r="33" spans="1:3" ht="16.5" thickBot="1">
      <c r="A33" s="626" t="s">
        <v>205</v>
      </c>
      <c r="B33" s="627"/>
      <c r="C33" s="628"/>
    </row>
    <row r="34" spans="1:3" ht="12.75">
      <c r="A34" s="231"/>
      <c r="B34" s="342"/>
      <c r="C34" s="232"/>
    </row>
    <row r="35" spans="1:3" ht="14.25">
      <c r="A35" s="68" t="s">
        <v>207</v>
      </c>
      <c r="B35" s="345">
        <v>0</v>
      </c>
      <c r="C35" s="195"/>
    </row>
    <row r="36" spans="1:3" ht="14.25">
      <c r="A36" s="68" t="s">
        <v>167</v>
      </c>
      <c r="B36" s="345">
        <v>32000</v>
      </c>
      <c r="C36" s="388" t="s">
        <v>283</v>
      </c>
    </row>
    <row r="37" spans="1:3" ht="14.25">
      <c r="A37" s="68" t="s">
        <v>208</v>
      </c>
      <c r="B37" s="345">
        <v>9400</v>
      </c>
      <c r="C37" s="388" t="s">
        <v>282</v>
      </c>
    </row>
    <row r="38" spans="1:3" ht="15" thickBot="1">
      <c r="A38" s="73" t="s">
        <v>209</v>
      </c>
      <c r="B38" s="347">
        <v>0</v>
      </c>
      <c r="C38" s="343"/>
    </row>
    <row r="39" spans="1:4" ht="15" thickBot="1">
      <c r="A39" s="74"/>
      <c r="B39" s="74"/>
      <c r="C39" s="326"/>
      <c r="D39" s="102"/>
    </row>
    <row r="40" spans="1:3" s="398" customFormat="1" ht="21" thickBot="1">
      <c r="A40" s="615" t="s">
        <v>322</v>
      </c>
      <c r="B40" s="616"/>
      <c r="C40" s="617"/>
    </row>
    <row r="41" spans="1:3" ht="9" customHeight="1" thickBot="1">
      <c r="A41" s="73"/>
      <c r="B41" s="74"/>
      <c r="C41" s="201"/>
    </row>
    <row r="42" spans="1:3" ht="16.5" thickBot="1">
      <c r="A42" s="621" t="s">
        <v>161</v>
      </c>
      <c r="B42" s="622"/>
      <c r="C42" s="623"/>
    </row>
    <row r="43" spans="1:3" ht="9" customHeight="1" thickBot="1">
      <c r="A43" s="194"/>
      <c r="B43" s="102"/>
      <c r="C43" s="195"/>
    </row>
    <row r="44" spans="1:3" ht="14.25">
      <c r="A44" s="64" t="s">
        <v>197</v>
      </c>
      <c r="B44" s="359">
        <f>B45*1.25</f>
        <v>0.0375</v>
      </c>
      <c r="C44" s="232"/>
    </row>
    <row r="45" spans="1:3" ht="14.25">
      <c r="A45" s="68" t="s">
        <v>196</v>
      </c>
      <c r="B45" s="360">
        <v>0.03</v>
      </c>
      <c r="C45" s="195"/>
    </row>
    <row r="46" spans="1:3" ht="9" customHeight="1">
      <c r="A46" s="68"/>
      <c r="B46" s="348"/>
      <c r="C46" s="195"/>
    </row>
    <row r="47" spans="1:3" ht="14.25">
      <c r="A47" s="68" t="s">
        <v>189</v>
      </c>
      <c r="B47" s="360">
        <v>0.0225</v>
      </c>
      <c r="C47" s="195"/>
    </row>
    <row r="48" spans="1:3" ht="9" customHeight="1">
      <c r="A48" s="68"/>
      <c r="B48" s="344"/>
      <c r="C48" s="195"/>
    </row>
    <row r="49" spans="1:3" ht="14.25">
      <c r="A49" s="68" t="s">
        <v>162</v>
      </c>
      <c r="B49" s="348">
        <v>0.022</v>
      </c>
      <c r="C49" s="195"/>
    </row>
    <row r="50" spans="1:3" ht="14.25">
      <c r="A50" s="68" t="s">
        <v>163</v>
      </c>
      <c r="B50" s="348">
        <v>0</v>
      </c>
      <c r="C50" s="195"/>
    </row>
    <row r="51" spans="1:3" ht="9" customHeight="1">
      <c r="A51" s="68"/>
      <c r="B51" s="344"/>
      <c r="C51" s="195"/>
    </row>
    <row r="52" spans="1:3" ht="14.25">
      <c r="A52" s="68" t="s">
        <v>327</v>
      </c>
      <c r="B52" s="349">
        <f>'OAS - Bill'!D7</f>
        <v>516.96</v>
      </c>
      <c r="C52" s="195"/>
    </row>
    <row r="53" spans="1:3" ht="14.25">
      <c r="A53" s="68" t="s">
        <v>164</v>
      </c>
      <c r="B53" s="348">
        <v>0.019</v>
      </c>
      <c r="C53" s="195"/>
    </row>
    <row r="54" spans="1:3" ht="14.25">
      <c r="A54" s="68" t="s">
        <v>353</v>
      </c>
      <c r="B54" s="350">
        <f>908.75*0.905*0.88</f>
        <v>723.7285</v>
      </c>
      <c r="C54" s="388" t="s">
        <v>355</v>
      </c>
    </row>
    <row r="55" spans="1:3" ht="14.25">
      <c r="A55" s="68" t="s">
        <v>352</v>
      </c>
      <c r="B55" s="350">
        <f>908.75*0.321*0.76</f>
        <v>221.69865000000001</v>
      </c>
      <c r="C55" s="388" t="s">
        <v>351</v>
      </c>
    </row>
    <row r="56" spans="1:3" ht="14.25">
      <c r="A56" s="68" t="s">
        <v>165</v>
      </c>
      <c r="B56" s="348">
        <v>0.019</v>
      </c>
      <c r="C56" s="195"/>
    </row>
    <row r="57" spans="1:3" ht="15" thickBot="1">
      <c r="A57" s="73" t="s">
        <v>166</v>
      </c>
      <c r="B57" s="363">
        <v>0.015</v>
      </c>
      <c r="C57" s="343"/>
    </row>
  </sheetData>
  <sheetProtection password="DF35" sheet="1" objects="1" scenarios="1"/>
  <mergeCells count="12">
    <mergeCell ref="A42:C42"/>
    <mergeCell ref="A2:C2"/>
    <mergeCell ref="A4:C4"/>
    <mergeCell ref="A6:C6"/>
    <mergeCell ref="A21:C21"/>
    <mergeCell ref="A3:C3"/>
    <mergeCell ref="A33:C33"/>
    <mergeCell ref="A40:C40"/>
    <mergeCell ref="A5:C5"/>
    <mergeCell ref="A1:C1"/>
    <mergeCell ref="A7:C7"/>
    <mergeCell ref="A22:C22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  <rowBreaks count="1" manualBreakCount="1">
    <brk id="3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8"/>
  <sheetViews>
    <sheetView workbookViewId="0" topLeftCell="A1">
      <selection activeCell="B20" sqref="B20:G20"/>
    </sheetView>
  </sheetViews>
  <sheetFormatPr defaultColWidth="9.140625" defaultRowHeight="12.75"/>
  <cols>
    <col min="1" max="1" width="7.7109375" style="5" customWidth="1"/>
    <col min="2" max="2" width="15.140625" style="1" bestFit="1" customWidth="1"/>
    <col min="3" max="3" width="12.28125" style="1" customWidth="1"/>
    <col min="4" max="4" width="10.28125" style="1" bestFit="1" customWidth="1"/>
    <col min="5" max="5" width="11.00390625" style="1" bestFit="1" customWidth="1"/>
    <col min="6" max="6" width="18.7109375" style="1" customWidth="1"/>
    <col min="7" max="7" width="11.57421875" style="1" customWidth="1"/>
    <col min="8" max="8" width="12.00390625" style="1" customWidth="1"/>
    <col min="9" max="9" width="10.28125" style="1" bestFit="1" customWidth="1"/>
    <col min="10" max="10" width="9.8515625" style="1" customWidth="1"/>
    <col min="11" max="11" width="12.7109375" style="1" customWidth="1"/>
    <col min="12" max="12" width="9.140625" style="1" customWidth="1"/>
    <col min="13" max="13" width="10.28125" style="1" bestFit="1" customWidth="1"/>
    <col min="14" max="16384" width="9.140625" style="1" customWidth="1"/>
  </cols>
  <sheetData>
    <row r="1" spans="1:11" ht="16.5" thickBot="1">
      <c r="A1" s="406" t="s">
        <v>318</v>
      </c>
      <c r="B1" s="407"/>
      <c r="C1" s="407"/>
      <c r="D1" s="407"/>
      <c r="E1" s="407"/>
      <c r="F1" s="407"/>
      <c r="G1" s="587"/>
      <c r="H1" s="406"/>
      <c r="I1" s="406"/>
      <c r="J1" s="406"/>
      <c r="K1" s="408"/>
    </row>
    <row r="2" spans="1:11" ht="9" customHeight="1" thickBot="1">
      <c r="A2" s="58"/>
      <c r="B2" s="53"/>
      <c r="C2" s="53"/>
      <c r="D2" s="402"/>
      <c r="E2" s="21"/>
      <c r="F2" s="21"/>
      <c r="G2" s="21"/>
      <c r="H2" s="21"/>
      <c r="I2" s="21"/>
      <c r="J2" s="21"/>
      <c r="K2" s="99"/>
    </row>
    <row r="3" spans="1:11" s="225" customFormat="1" ht="32.25" thickBot="1">
      <c r="A3" s="609" t="s">
        <v>23</v>
      </c>
      <c r="B3" s="590" t="s">
        <v>316</v>
      </c>
      <c r="C3" s="590" t="s">
        <v>31</v>
      </c>
      <c r="D3" s="590" t="s">
        <v>27</v>
      </c>
      <c r="E3" s="590" t="s">
        <v>115</v>
      </c>
      <c r="F3" s="591" t="s">
        <v>319</v>
      </c>
      <c r="G3" s="590" t="s">
        <v>218</v>
      </c>
      <c r="H3" s="591" t="s">
        <v>317</v>
      </c>
      <c r="I3" s="590" t="s">
        <v>27</v>
      </c>
      <c r="J3" s="590" t="s">
        <v>139</v>
      </c>
      <c r="K3" s="592" t="s">
        <v>124</v>
      </c>
    </row>
    <row r="4" spans="1:11" ht="15">
      <c r="A4" s="58"/>
      <c r="B4" s="53"/>
      <c r="C4" s="53"/>
      <c r="D4" s="53"/>
      <c r="E4" s="277"/>
      <c r="F4" s="277"/>
      <c r="G4" s="277"/>
      <c r="H4" s="277"/>
      <c r="I4" s="277"/>
      <c r="J4" s="277"/>
      <c r="K4" s="403"/>
    </row>
    <row r="5" spans="1:13" ht="15">
      <c r="A5" s="58">
        <v>2009</v>
      </c>
      <c r="B5" s="53">
        <v>60680</v>
      </c>
      <c r="C5" s="53">
        <v>0</v>
      </c>
      <c r="D5" s="53">
        <v>0</v>
      </c>
      <c r="E5" s="53">
        <v>0</v>
      </c>
      <c r="F5" s="53">
        <v>2794.2808101455503</v>
      </c>
      <c r="G5" s="53">
        <v>0</v>
      </c>
      <c r="H5" s="53">
        <v>10526.812198348782</v>
      </c>
      <c r="I5" s="53">
        <v>2405.7</v>
      </c>
      <c r="J5" s="53">
        <v>896.14</v>
      </c>
      <c r="K5" s="404">
        <v>49645.62861179677</v>
      </c>
      <c r="L5" s="4"/>
      <c r="M5" s="1">
        <v>13514</v>
      </c>
    </row>
    <row r="6" spans="1:13" ht="15">
      <c r="A6" s="58">
        <v>2010</v>
      </c>
      <c r="B6" s="53">
        <v>62172.5</v>
      </c>
      <c r="C6" s="53">
        <v>0</v>
      </c>
      <c r="D6" s="53">
        <v>0</v>
      </c>
      <c r="E6" s="53">
        <v>0</v>
      </c>
      <c r="F6" s="53">
        <v>2683.9028092357485</v>
      </c>
      <c r="G6" s="53">
        <v>0</v>
      </c>
      <c r="H6" s="53">
        <v>10730.00273102879</v>
      </c>
      <c r="I6" s="53">
        <v>2461.1697000000004</v>
      </c>
      <c r="J6" s="53">
        <v>914.2773199999999</v>
      </c>
      <c r="K6" s="404">
        <v>50750.95305820696</v>
      </c>
      <c r="L6" s="4"/>
      <c r="M6" s="7">
        <f>B5+F5</f>
        <v>63474.28081014555</v>
      </c>
    </row>
    <row r="7" spans="1:12" ht="15">
      <c r="A7" s="58">
        <v>2011</v>
      </c>
      <c r="B7" s="53">
        <v>63726.812499999985</v>
      </c>
      <c r="C7" s="53">
        <v>0</v>
      </c>
      <c r="D7" s="53">
        <v>0</v>
      </c>
      <c r="E7" s="53">
        <v>0</v>
      </c>
      <c r="F7" s="53">
        <v>2713.397111739989</v>
      </c>
      <c r="G7" s="53">
        <v>0</v>
      </c>
      <c r="H7" s="53">
        <v>11001.606766970406</v>
      </c>
      <c r="I7" s="53">
        <v>2517.7727717999996</v>
      </c>
      <c r="J7" s="53">
        <v>932.7870155799999</v>
      </c>
      <c r="K7" s="404">
        <v>51988.04305738957</v>
      </c>
      <c r="L7" s="4"/>
    </row>
    <row r="8" spans="1:13" ht="15">
      <c r="A8" s="58">
        <v>2012</v>
      </c>
      <c r="B8" s="53">
        <v>65319.98281249998</v>
      </c>
      <c r="C8" s="53">
        <v>0</v>
      </c>
      <c r="D8" s="53">
        <v>0</v>
      </c>
      <c r="E8" s="53">
        <v>0</v>
      </c>
      <c r="F8" s="53">
        <v>2747.5330603708194</v>
      </c>
      <c r="G8" s="53">
        <v>0</v>
      </c>
      <c r="H8" s="53">
        <v>11283.276478844688</v>
      </c>
      <c r="I8" s="53">
        <v>2575.5327356516996</v>
      </c>
      <c r="J8" s="53">
        <v>951.6768560385198</v>
      </c>
      <c r="K8" s="404">
        <v>53257.029802335885</v>
      </c>
      <c r="L8" s="4"/>
      <c r="M8" s="526">
        <f>M5/M6</f>
        <v>0.21290512988120316</v>
      </c>
    </row>
    <row r="9" spans="1:12" ht="15">
      <c r="A9" s="58">
        <v>2013</v>
      </c>
      <c r="B9" s="53">
        <v>66952.98238281246</v>
      </c>
      <c r="C9" s="53">
        <v>0</v>
      </c>
      <c r="D9" s="53">
        <v>0</v>
      </c>
      <c r="E9" s="53">
        <v>0</v>
      </c>
      <c r="F9" s="53">
        <v>3075.9630414346975</v>
      </c>
      <c r="G9" s="53">
        <v>0</v>
      </c>
      <c r="H9" s="53">
        <v>11613.437882935314</v>
      </c>
      <c r="I9" s="53">
        <v>2634.4736083462694</v>
      </c>
      <c r="J9" s="53">
        <v>970.9547756448142</v>
      </c>
      <c r="K9" s="404">
        <v>54810.07915732076</v>
      </c>
      <c r="L9" s="4"/>
    </row>
    <row r="10" spans="1:12" ht="15">
      <c r="A10" s="58">
        <v>2014</v>
      </c>
      <c r="B10" s="53">
        <v>68626.80694238277</v>
      </c>
      <c r="C10" s="53">
        <v>0</v>
      </c>
      <c r="D10" s="53">
        <v>0</v>
      </c>
      <c r="E10" s="53">
        <v>0</v>
      </c>
      <c r="F10" s="53">
        <v>3417.946374639609</v>
      </c>
      <c r="G10" s="53">
        <v>0</v>
      </c>
      <c r="H10" s="53">
        <v>11954.913397082611</v>
      </c>
      <c r="I10" s="53">
        <v>2694.619913889965</v>
      </c>
      <c r="J10" s="53">
        <v>990.6288772071669</v>
      </c>
      <c r="K10" s="404">
        <v>56404.59112884263</v>
      </c>
      <c r="L10" s="4"/>
    </row>
    <row r="11" spans="1:12" ht="15">
      <c r="A11" s="58">
        <v>2015</v>
      </c>
      <c r="B11" s="53">
        <v>70342.47711594234</v>
      </c>
      <c r="C11" s="53">
        <v>0</v>
      </c>
      <c r="D11" s="53">
        <v>0</v>
      </c>
      <c r="E11" s="53">
        <v>0</v>
      </c>
      <c r="F11" s="53">
        <v>2576.2658626716607</v>
      </c>
      <c r="G11" s="53">
        <v>0</v>
      </c>
      <c r="H11" s="53">
        <v>11955.124087237531</v>
      </c>
      <c r="I11" s="53">
        <v>2755.99669441362</v>
      </c>
      <c r="J11" s="53">
        <v>1010.7074357198325</v>
      </c>
      <c r="K11" s="404">
        <v>57196.91476124302</v>
      </c>
      <c r="L11" s="4"/>
    </row>
    <row r="12" spans="1:12" ht="15">
      <c r="A12" s="58">
        <v>2016</v>
      </c>
      <c r="B12" s="53">
        <v>72101.0390438409</v>
      </c>
      <c r="C12" s="53">
        <v>0</v>
      </c>
      <c r="D12" s="53">
        <v>0</v>
      </c>
      <c r="E12" s="53">
        <v>0</v>
      </c>
      <c r="F12" s="53">
        <v>2946.9386950894595</v>
      </c>
      <c r="G12" s="53">
        <v>0</v>
      </c>
      <c r="H12" s="53">
        <v>12354.847108089225</v>
      </c>
      <c r="I12" s="53">
        <v>2818.6295213212175</v>
      </c>
      <c r="J12" s="53">
        <v>1031.1989020903814</v>
      </c>
      <c r="K12" s="404">
        <v>58843.30220742952</v>
      </c>
      <c r="L12" s="4"/>
    </row>
    <row r="13" spans="1:12" ht="15">
      <c r="A13" s="58">
        <v>2017</v>
      </c>
      <c r="B13" s="53">
        <v>73903.56501993691</v>
      </c>
      <c r="C13" s="53">
        <v>0</v>
      </c>
      <c r="D13" s="53">
        <v>0</v>
      </c>
      <c r="E13" s="53">
        <v>0</v>
      </c>
      <c r="F13" s="53">
        <v>3333.438272365557</v>
      </c>
      <c r="G13" s="53">
        <v>0</v>
      </c>
      <c r="H13" s="53">
        <v>12766.387305834569</v>
      </c>
      <c r="I13" s="53">
        <v>2882.5445066829025</v>
      </c>
      <c r="J13" s="53">
        <v>1052.111906949268</v>
      </c>
      <c r="K13" s="404">
        <v>60535.95957283573</v>
      </c>
      <c r="L13" s="4"/>
    </row>
    <row r="14" spans="1:12" ht="15">
      <c r="A14" s="58">
        <v>2018</v>
      </c>
      <c r="B14" s="53">
        <v>0</v>
      </c>
      <c r="C14" s="53">
        <v>0</v>
      </c>
      <c r="D14" s="53">
        <v>13439.310005772364</v>
      </c>
      <c r="E14" s="53">
        <v>0</v>
      </c>
      <c r="F14" s="53">
        <v>3607.5596248558772</v>
      </c>
      <c r="G14" s="53">
        <v>0</v>
      </c>
      <c r="H14" s="53">
        <v>0</v>
      </c>
      <c r="I14" s="53">
        <v>0</v>
      </c>
      <c r="J14" s="53">
        <v>0</v>
      </c>
      <c r="K14" s="404">
        <v>17046.86963062824</v>
      </c>
      <c r="L14" s="4"/>
    </row>
    <row r="15" spans="1:12" ht="15">
      <c r="A15" s="58">
        <v>2019</v>
      </c>
      <c r="B15" s="53">
        <v>0</v>
      </c>
      <c r="C15" s="53">
        <v>0</v>
      </c>
      <c r="D15" s="53">
        <v>13694.656895882037</v>
      </c>
      <c r="E15" s="53">
        <v>0</v>
      </c>
      <c r="F15" s="53">
        <v>2356.219201754049</v>
      </c>
      <c r="G15" s="53">
        <v>17700</v>
      </c>
      <c r="H15" s="53">
        <v>1487.377663693948</v>
      </c>
      <c r="I15" s="53">
        <v>0</v>
      </c>
      <c r="J15" s="53">
        <v>0</v>
      </c>
      <c r="K15" s="404">
        <v>32263.49843394214</v>
      </c>
      <c r="L15" s="4"/>
    </row>
    <row r="16" spans="1:12" ht="15">
      <c r="A16" s="58">
        <v>2020</v>
      </c>
      <c r="B16" s="53">
        <v>0</v>
      </c>
      <c r="C16" s="53">
        <v>20300</v>
      </c>
      <c r="D16" s="53">
        <v>13954.855376903794</v>
      </c>
      <c r="E16" s="53">
        <v>7696.3349152033425</v>
      </c>
      <c r="F16" s="53">
        <v>1624.2461562097517</v>
      </c>
      <c r="G16" s="53">
        <v>0</v>
      </c>
      <c r="H16" s="53">
        <v>3045.599522870788</v>
      </c>
      <c r="I16" s="53">
        <v>0</v>
      </c>
      <c r="J16" s="53">
        <v>0</v>
      </c>
      <c r="K16" s="404">
        <v>40529.8369254461</v>
      </c>
      <c r="L16" s="4"/>
    </row>
    <row r="17" spans="1:12" ht="15">
      <c r="A17" s="58">
        <v>2021</v>
      </c>
      <c r="B17" s="53">
        <v>0</v>
      </c>
      <c r="C17" s="53">
        <v>20604.5</v>
      </c>
      <c r="D17" s="53">
        <v>14219.997629064965</v>
      </c>
      <c r="E17" s="53">
        <v>7843.610473171872</v>
      </c>
      <c r="F17" s="53">
        <v>1258.3979162725313</v>
      </c>
      <c r="G17" s="53">
        <v>0</v>
      </c>
      <c r="H17" s="53">
        <v>2776.934988940845</v>
      </c>
      <c r="I17" s="53">
        <v>0</v>
      </c>
      <c r="J17" s="53">
        <v>0</v>
      </c>
      <c r="K17" s="404">
        <v>41149.57102956852</v>
      </c>
      <c r="L17" s="4"/>
    </row>
    <row r="18" spans="1:12" ht="15">
      <c r="A18" s="58">
        <v>2022</v>
      </c>
      <c r="B18" s="53">
        <v>0</v>
      </c>
      <c r="C18" s="53">
        <v>20913.567499999994</v>
      </c>
      <c r="D18" s="53">
        <v>14490.177584017198</v>
      </c>
      <c r="E18" s="53">
        <v>15987.40853476126</v>
      </c>
      <c r="F18" s="53">
        <v>871.4371045068654</v>
      </c>
      <c r="G18" s="53">
        <v>0</v>
      </c>
      <c r="H18" s="53">
        <v>3543.038421579486</v>
      </c>
      <c r="I18" s="53">
        <v>0</v>
      </c>
      <c r="J18" s="53">
        <v>0</v>
      </c>
      <c r="K18" s="404">
        <v>48719.55230170583</v>
      </c>
      <c r="L18" s="4"/>
    </row>
    <row r="19" spans="1:12" ht="15">
      <c r="A19" s="58">
        <v>2023</v>
      </c>
      <c r="B19" s="53">
        <v>0</v>
      </c>
      <c r="C19" s="53">
        <v>21227.27101249999</v>
      </c>
      <c r="D19" s="53">
        <v>14765.490958113522</v>
      </c>
      <c r="E19" s="53">
        <v>16293.340454092968</v>
      </c>
      <c r="F19" s="53">
        <v>612.7822200172614</v>
      </c>
      <c r="G19" s="53">
        <v>0</v>
      </c>
      <c r="H19" s="53">
        <v>3656.309392905769</v>
      </c>
      <c r="I19" s="53">
        <v>0</v>
      </c>
      <c r="J19" s="53">
        <v>0</v>
      </c>
      <c r="K19" s="404">
        <v>49242.57525181797</v>
      </c>
      <c r="L19" s="4"/>
    </row>
    <row r="20" spans="1:12" ht="15">
      <c r="A20" s="58">
        <v>2024</v>
      </c>
      <c r="B20" s="53">
        <v>0</v>
      </c>
      <c r="C20" s="53">
        <v>21545.680077687484</v>
      </c>
      <c r="D20" s="53">
        <v>15046.035286317678</v>
      </c>
      <c r="E20" s="53">
        <v>16605.12662673049</v>
      </c>
      <c r="F20" s="53">
        <v>383.08286593828115</v>
      </c>
      <c r="G20" s="53">
        <v>46900</v>
      </c>
      <c r="H20" s="53">
        <v>18161.61722235483</v>
      </c>
      <c r="I20" s="53">
        <v>0</v>
      </c>
      <c r="J20" s="53">
        <v>0</v>
      </c>
      <c r="K20" s="404">
        <v>82318.30763431909</v>
      </c>
      <c r="L20" s="4"/>
    </row>
    <row r="21" spans="1:12" ht="15">
      <c r="A21" s="58">
        <v>2025</v>
      </c>
      <c r="B21" s="53">
        <v>0</v>
      </c>
      <c r="C21" s="53">
        <v>21868.865278852794</v>
      </c>
      <c r="D21" s="53">
        <v>15331.909956757712</v>
      </c>
      <c r="E21" s="53">
        <v>16922.879078518796</v>
      </c>
      <c r="F21" s="53">
        <v>144.63199855496535</v>
      </c>
      <c r="G21" s="53">
        <v>7900</v>
      </c>
      <c r="H21" s="53">
        <v>5857.768531941694</v>
      </c>
      <c r="I21" s="53">
        <v>0</v>
      </c>
      <c r="J21" s="53">
        <v>0</v>
      </c>
      <c r="K21" s="404">
        <v>56310.51778074257</v>
      </c>
      <c r="L21" s="4"/>
    </row>
    <row r="22" spans="1:12" ht="15">
      <c r="A22" s="58">
        <v>2026</v>
      </c>
      <c r="B22" s="53">
        <v>0</v>
      </c>
      <c r="C22" s="53">
        <v>22196.89825803558</v>
      </c>
      <c r="D22" s="53">
        <v>15623.216245936108</v>
      </c>
      <c r="E22" s="53">
        <v>17246.71197900751</v>
      </c>
      <c r="F22" s="53">
        <v>76.90890493076205</v>
      </c>
      <c r="G22" s="53">
        <v>9500</v>
      </c>
      <c r="H22" s="53">
        <v>6482.693830152874</v>
      </c>
      <c r="I22" s="53">
        <v>0</v>
      </c>
      <c r="J22" s="53">
        <v>0</v>
      </c>
      <c r="K22" s="404">
        <v>58161.04155775708</v>
      </c>
      <c r="L22" s="4"/>
    </row>
    <row r="23" spans="1:12" ht="15">
      <c r="A23" s="58">
        <v>2027</v>
      </c>
      <c r="B23" s="53">
        <v>0</v>
      </c>
      <c r="C23" s="53">
        <v>22529.851731906114</v>
      </c>
      <c r="D23" s="53">
        <v>15920.057354608893</v>
      </c>
      <c r="E23" s="53">
        <v>17576.741682472373</v>
      </c>
      <c r="F23" s="53">
        <v>39.45845346025704</v>
      </c>
      <c r="G23" s="53">
        <v>8252.531435121466</v>
      </c>
      <c r="H23" s="53">
        <v>6388.68039415771</v>
      </c>
      <c r="I23" s="53">
        <v>0</v>
      </c>
      <c r="J23" s="53">
        <v>0</v>
      </c>
      <c r="K23" s="404">
        <v>57929.9602634114</v>
      </c>
      <c r="L23" s="4"/>
    </row>
    <row r="24" spans="1:12" ht="15">
      <c r="A24" s="58">
        <v>2028</v>
      </c>
      <c r="B24" s="53">
        <v>0</v>
      </c>
      <c r="C24" s="53">
        <v>22867.7995078847</v>
      </c>
      <c r="D24" s="53">
        <v>16222.53844434646</v>
      </c>
      <c r="E24" s="53">
        <v>17913.08676972179</v>
      </c>
      <c r="F24" s="53">
        <v>19.51014924332678</v>
      </c>
      <c r="G24" s="53">
        <v>7007.0205033011725</v>
      </c>
      <c r="H24" s="53">
        <v>6170.094353350009</v>
      </c>
      <c r="I24" s="53">
        <v>0</v>
      </c>
      <c r="J24" s="53">
        <v>0</v>
      </c>
      <c r="K24" s="404">
        <v>57859.86102114744</v>
      </c>
      <c r="L24" s="4"/>
    </row>
    <row r="25" spans="1:12" ht="15">
      <c r="A25" s="58">
        <v>2029</v>
      </c>
      <c r="B25" s="53">
        <v>0</v>
      </c>
      <c r="C25" s="53">
        <v>23210.81650050297</v>
      </c>
      <c r="D25" s="53">
        <v>16530.76667478904</v>
      </c>
      <c r="E25" s="53">
        <v>18255.868090703298</v>
      </c>
      <c r="F25" s="53">
        <v>9.544090646229511</v>
      </c>
      <c r="G25" s="53">
        <v>6713.8209658390615</v>
      </c>
      <c r="H25" s="53">
        <v>6189.402868440453</v>
      </c>
      <c r="I25" s="53">
        <v>0</v>
      </c>
      <c r="J25" s="53">
        <v>0</v>
      </c>
      <c r="K25" s="404">
        <v>58531.41345404014</v>
      </c>
      <c r="L25" s="4"/>
    </row>
    <row r="26" spans="1:12" ht="15">
      <c r="A26" s="58">
        <v>2030</v>
      </c>
      <c r="B26" s="53">
        <v>0</v>
      </c>
      <c r="C26" s="53">
        <v>23558.97874801051</v>
      </c>
      <c r="D26" s="53">
        <v>16844.85124161003</v>
      </c>
      <c r="E26" s="53">
        <v>18605.208807925344</v>
      </c>
      <c r="F26" s="53">
        <v>39.554328947721146</v>
      </c>
      <c r="G26" s="53">
        <v>6538.611618966463</v>
      </c>
      <c r="H26" s="53">
        <v>6237.533352873694</v>
      </c>
      <c r="I26" s="53">
        <v>0</v>
      </c>
      <c r="J26" s="53">
        <v>0</v>
      </c>
      <c r="K26" s="404">
        <v>59349.67139258637</v>
      </c>
      <c r="L26" s="4"/>
    </row>
    <row r="27" spans="1:12" ht="15">
      <c r="A27" s="58">
        <v>2031</v>
      </c>
      <c r="B27" s="53">
        <v>0</v>
      </c>
      <c r="C27" s="53">
        <v>23912.363429230667</v>
      </c>
      <c r="D27" s="53">
        <v>17164.90341520062</v>
      </c>
      <c r="E27" s="53">
        <v>18961.23444071004</v>
      </c>
      <c r="F27" s="53">
        <v>115.16941379938902</v>
      </c>
      <c r="G27" s="53">
        <v>6359.726420534926</v>
      </c>
      <c r="H27" s="53">
        <v>6281.312375375127</v>
      </c>
      <c r="I27" s="53">
        <v>0</v>
      </c>
      <c r="J27" s="53">
        <v>0</v>
      </c>
      <c r="K27" s="404">
        <v>60232.08474410052</v>
      </c>
      <c r="L27" s="4"/>
    </row>
    <row r="28" spans="1:12" ht="15">
      <c r="A28" s="58">
        <v>2032</v>
      </c>
      <c r="B28" s="53">
        <v>0</v>
      </c>
      <c r="C28" s="53">
        <v>24271.048880669125</v>
      </c>
      <c r="D28" s="53">
        <v>17491.03658008943</v>
      </c>
      <c r="E28" s="53">
        <v>19324.07291029266</v>
      </c>
      <c r="F28" s="53">
        <v>236.01217694017944</v>
      </c>
      <c r="G28" s="53">
        <v>9690.691888946498</v>
      </c>
      <c r="H28" s="53">
        <v>7292.114005210258</v>
      </c>
      <c r="I28" s="53">
        <v>0</v>
      </c>
      <c r="J28" s="53">
        <v>0</v>
      </c>
      <c r="K28" s="404">
        <v>63720.748431727625</v>
      </c>
      <c r="L28" s="4"/>
    </row>
    <row r="29" spans="1:12" ht="15">
      <c r="A29" s="58">
        <v>2033</v>
      </c>
      <c r="B29" s="53">
        <v>0</v>
      </c>
      <c r="C29" s="53">
        <v>24635.114613879156</v>
      </c>
      <c r="D29" s="53">
        <v>17823.366275111126</v>
      </c>
      <c r="E29" s="53">
        <v>19693.854585784193</v>
      </c>
      <c r="F29" s="53">
        <v>497.1270817185266</v>
      </c>
      <c r="G29" s="53">
        <v>6745.139216757729</v>
      </c>
      <c r="H29" s="53">
        <v>6539.955528529819</v>
      </c>
      <c r="I29" s="53">
        <v>0</v>
      </c>
      <c r="J29" s="53">
        <v>0</v>
      </c>
      <c r="K29" s="404">
        <v>62854.64624472091</v>
      </c>
      <c r="L29" s="4"/>
    </row>
    <row r="30" spans="1:12" ht="15">
      <c r="A30" s="58">
        <v>2034</v>
      </c>
      <c r="B30" s="53">
        <v>0</v>
      </c>
      <c r="C30" s="53">
        <v>25004.64133308734</v>
      </c>
      <c r="D30" s="53">
        <v>18162.01023433824</v>
      </c>
      <c r="E30" s="53">
        <v>20070.712331013412</v>
      </c>
      <c r="F30" s="53">
        <v>732.6050234194613</v>
      </c>
      <c r="G30" s="53">
        <v>5511.956225024363</v>
      </c>
      <c r="H30" s="53">
        <v>6385.454858005718</v>
      </c>
      <c r="I30" s="53">
        <v>0</v>
      </c>
      <c r="J30" s="53">
        <v>0</v>
      </c>
      <c r="K30" s="404">
        <v>63096.4702888771</v>
      </c>
      <c r="L30" s="4"/>
    </row>
    <row r="31" spans="1:12" ht="15">
      <c r="A31" s="58">
        <v>2035</v>
      </c>
      <c r="B31" s="53">
        <v>0</v>
      </c>
      <c r="C31" s="53">
        <v>25379.710953083646</v>
      </c>
      <c r="D31" s="53">
        <v>18507.088428790663</v>
      </c>
      <c r="E31" s="53">
        <v>20454.7815522653</v>
      </c>
      <c r="F31" s="53">
        <v>981.4643067811697</v>
      </c>
      <c r="G31" s="53">
        <v>6865.771373073155</v>
      </c>
      <c r="H31" s="53">
        <v>6935.479558780928</v>
      </c>
      <c r="I31" s="53">
        <v>0</v>
      </c>
      <c r="J31" s="53">
        <v>0</v>
      </c>
      <c r="K31" s="404">
        <v>65253.337055213</v>
      </c>
      <c r="L31" s="4"/>
    </row>
    <row r="32" spans="1:12" ht="15">
      <c r="A32" s="58">
        <v>2036</v>
      </c>
      <c r="B32" s="53">
        <v>0</v>
      </c>
      <c r="C32" s="53">
        <v>25760.406617379896</v>
      </c>
      <c r="D32" s="53">
        <v>18858.723108937684</v>
      </c>
      <c r="E32" s="53">
        <v>20846.20024693299</v>
      </c>
      <c r="F32" s="53">
        <v>1313.0588892070748</v>
      </c>
      <c r="G32" s="53">
        <v>5085.754780279468</v>
      </c>
      <c r="H32" s="53">
        <v>6503.8118776737065</v>
      </c>
      <c r="I32" s="53">
        <v>0</v>
      </c>
      <c r="J32" s="53">
        <v>0</v>
      </c>
      <c r="K32" s="404">
        <v>65360.33176506341</v>
      </c>
      <c r="L32" s="4"/>
    </row>
    <row r="33" spans="1:12" ht="15">
      <c r="A33" s="58">
        <v>2037</v>
      </c>
      <c r="B33" s="53">
        <v>0</v>
      </c>
      <c r="C33" s="53">
        <v>26146.812716640594</v>
      </c>
      <c r="D33" s="53">
        <v>19217.038848007498</v>
      </c>
      <c r="E33" s="53">
        <v>21245.109053100718</v>
      </c>
      <c r="F33" s="53">
        <v>1790.6206428162307</v>
      </c>
      <c r="G33" s="53">
        <v>4951.463275875692</v>
      </c>
      <c r="H33" s="53">
        <v>6583.079351221713</v>
      </c>
      <c r="I33" s="53">
        <v>0</v>
      </c>
      <c r="J33" s="53">
        <v>0</v>
      </c>
      <c r="K33" s="404">
        <v>66767.96518521901</v>
      </c>
      <c r="L33" s="4"/>
    </row>
    <row r="34" spans="1:12" ht="15">
      <c r="A34" s="58">
        <v>2038</v>
      </c>
      <c r="B34" s="53">
        <v>0</v>
      </c>
      <c r="C34" s="53">
        <v>26539.0149073902</v>
      </c>
      <c r="D34" s="53">
        <v>19582.162586119637</v>
      </c>
      <c r="E34" s="53">
        <v>21651.65130007556</v>
      </c>
      <c r="F34" s="53">
        <v>2323.048749558409</v>
      </c>
      <c r="G34" s="53">
        <v>4817.217936516992</v>
      </c>
      <c r="H34" s="53">
        <v>6661.503188486273</v>
      </c>
      <c r="I34" s="53">
        <v>0</v>
      </c>
      <c r="J34" s="53">
        <v>0</v>
      </c>
      <c r="K34" s="404">
        <v>68251.59229117451</v>
      </c>
      <c r="L34" s="4"/>
    </row>
    <row r="35" spans="1:11" ht="15">
      <c r="A35" s="58">
        <v>2039</v>
      </c>
      <c r="B35" s="53">
        <v>0</v>
      </c>
      <c r="C35" s="53">
        <v>26937.100131001043</v>
      </c>
      <c r="D35" s="53">
        <v>19954.22367525591</v>
      </c>
      <c r="E35" s="53">
        <v>22065.973059886142</v>
      </c>
      <c r="F35" s="53">
        <v>2911.0968236357694</v>
      </c>
      <c r="G35" s="53">
        <v>4686.75838759481</v>
      </c>
      <c r="H35" s="53">
        <v>6739.751237521284</v>
      </c>
      <c r="I35" s="53">
        <v>0</v>
      </c>
      <c r="J35" s="53">
        <v>0</v>
      </c>
      <c r="K35" s="404">
        <v>69815.40083985239</v>
      </c>
    </row>
    <row r="36" spans="1:11" ht="15">
      <c r="A36" s="58">
        <v>2040</v>
      </c>
      <c r="B36" s="53">
        <v>0</v>
      </c>
      <c r="C36" s="53">
        <v>27341.156632966056</v>
      </c>
      <c r="D36" s="53">
        <v>20333.353925085772</v>
      </c>
      <c r="E36" s="53">
        <v>22488.223199766835</v>
      </c>
      <c r="F36" s="53">
        <v>3555.726038329116</v>
      </c>
      <c r="G36" s="53">
        <v>4558.658939879142</v>
      </c>
      <c r="H36" s="53">
        <v>6824.183182869494</v>
      </c>
      <c r="I36" s="53">
        <v>0</v>
      </c>
      <c r="J36" s="53">
        <v>0</v>
      </c>
      <c r="K36" s="404">
        <v>71452.93555315743</v>
      </c>
    </row>
    <row r="37" spans="1:11" ht="15">
      <c r="A37" s="58">
        <v>2041</v>
      </c>
      <c r="B37" s="53">
        <v>0</v>
      </c>
      <c r="C37" s="53">
        <v>27751.27398246054</v>
      </c>
      <c r="D37" s="53">
        <v>20719.6876496624</v>
      </c>
      <c r="E37" s="53">
        <v>22918.55343564626</v>
      </c>
      <c r="F37" s="53">
        <v>4257.700376690017</v>
      </c>
      <c r="G37" s="53">
        <v>4433.089133480478</v>
      </c>
      <c r="H37" s="53">
        <v>6918.553763420856</v>
      </c>
      <c r="I37" s="53">
        <v>0</v>
      </c>
      <c r="J37" s="53">
        <v>0</v>
      </c>
      <c r="K37" s="404">
        <v>73161.75081451883</v>
      </c>
    </row>
    <row r="38" spans="1:11" ht="15">
      <c r="A38" s="58">
        <v>2042</v>
      </c>
      <c r="B38" s="53">
        <v>0</v>
      </c>
      <c r="C38" s="53">
        <v>28167.543092197448</v>
      </c>
      <c r="D38" s="53">
        <v>21113.36171500598</v>
      </c>
      <c r="E38" s="53">
        <v>23357.118386659335</v>
      </c>
      <c r="F38" s="53">
        <v>5012.674131349295</v>
      </c>
      <c r="G38" s="53">
        <v>4311.946671252499</v>
      </c>
      <c r="H38" s="53">
        <v>7010.92644424645</v>
      </c>
      <c r="I38" s="53">
        <v>0</v>
      </c>
      <c r="J38" s="53">
        <v>0</v>
      </c>
      <c r="K38" s="404">
        <v>74951.7175522181</v>
      </c>
    </row>
    <row r="39" spans="1:11" ht="15">
      <c r="A39" s="58">
        <v>2043</v>
      </c>
      <c r="B39" s="53">
        <v>0</v>
      </c>
      <c r="C39" s="53">
        <v>28590.056238580404</v>
      </c>
      <c r="D39" s="53">
        <v>21514.515587591093</v>
      </c>
      <c r="E39" s="53">
        <v>23804.07563070247</v>
      </c>
      <c r="F39" s="53">
        <v>5831.8040481284215</v>
      </c>
      <c r="G39" s="53">
        <v>4133.15058725012</v>
      </c>
      <c r="H39" s="53">
        <v>7086.124679103934</v>
      </c>
      <c r="I39" s="53">
        <v>0</v>
      </c>
      <c r="J39" s="53">
        <v>0</v>
      </c>
      <c r="K39" s="404">
        <v>76787.47741314858</v>
      </c>
    </row>
    <row r="40" spans="1:11" ht="15">
      <c r="A40" s="58">
        <v>2044</v>
      </c>
      <c r="B40" s="53">
        <v>0</v>
      </c>
      <c r="C40" s="53">
        <v>29018.907082159112</v>
      </c>
      <c r="D40" s="53">
        <v>21923.29138375532</v>
      </c>
      <c r="E40" s="53">
        <v>24259.585761051858</v>
      </c>
      <c r="F40" s="53">
        <v>6709.815715461596</v>
      </c>
      <c r="G40" s="53">
        <v>3962.8860655550097</v>
      </c>
      <c r="H40" s="53">
        <v>7161.854794295557</v>
      </c>
      <c r="I40" s="53">
        <v>0</v>
      </c>
      <c r="J40" s="53">
        <v>0</v>
      </c>
      <c r="K40" s="404">
        <v>78712.63121368733</v>
      </c>
    </row>
    <row r="41" spans="1:11" ht="15">
      <c r="A41" s="58">
        <v>2045</v>
      </c>
      <c r="B41" s="53">
        <v>0</v>
      </c>
      <c r="C41" s="53">
        <v>29454.190688391493</v>
      </c>
      <c r="D41" s="53">
        <v>22339.833920046665</v>
      </c>
      <c r="E41" s="53">
        <v>24723.81244406516</v>
      </c>
      <c r="F41" s="53">
        <v>7648.188854039711</v>
      </c>
      <c r="G41" s="53">
        <v>3800.581806132567</v>
      </c>
      <c r="H41" s="53">
        <v>7329.823933618598</v>
      </c>
      <c r="I41" s="53">
        <v>0</v>
      </c>
      <c r="J41" s="53">
        <v>0</v>
      </c>
      <c r="K41" s="404">
        <v>80636.78377905699</v>
      </c>
    </row>
    <row r="42" spans="1:11" ht="15.75" thickBot="1">
      <c r="A42" s="11">
        <v>2046</v>
      </c>
      <c r="B42" s="56">
        <v>0</v>
      </c>
      <c r="C42" s="56">
        <v>29896.003548717363</v>
      </c>
      <c r="D42" s="56">
        <v>22764.29076452755</v>
      </c>
      <c r="E42" s="56">
        <v>25196.922477987424</v>
      </c>
      <c r="F42" s="56">
        <v>8645.033634471956</v>
      </c>
      <c r="G42" s="56">
        <v>3643.4203752492285</v>
      </c>
      <c r="H42" s="56">
        <v>7510.658100106075</v>
      </c>
      <c r="I42" s="56">
        <v>0</v>
      </c>
      <c r="J42" s="56">
        <v>0</v>
      </c>
      <c r="K42" s="405">
        <v>82635.01270084745</v>
      </c>
    </row>
    <row r="43" spans="2:11" ht="1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">
      <c r="B558" s="7"/>
      <c r="C558" s="7"/>
      <c r="D558" s="7"/>
      <c r="E558" s="7"/>
      <c r="F558" s="7"/>
      <c r="G558" s="7"/>
      <c r="H558" s="7"/>
      <c r="I558" s="7"/>
      <c r="J558" s="7"/>
      <c r="K558" s="7"/>
    </row>
  </sheetData>
  <sheetProtection password="DF35" sheet="1" objects="1" scenarios="1"/>
  <printOptions gridLines="1" horizontalCentered="1" verticalCentered="1"/>
  <pageMargins left="0.5511811023622047" right="0.5511811023622047" top="0.3937007874015748" bottom="0.3937007874015748" header="0.5118110236220472" footer="0.5118110236220472"/>
  <pageSetup horizontalDpi="300" verticalDpi="300" orientation="landscape" scale="80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X56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2" sqref="E12"/>
    </sheetView>
  </sheetViews>
  <sheetFormatPr defaultColWidth="9.140625" defaultRowHeight="12.75"/>
  <cols>
    <col min="1" max="1" width="6.421875" style="5" bestFit="1" customWidth="1"/>
    <col min="2" max="2" width="7.7109375" style="5" customWidth="1"/>
    <col min="3" max="3" width="11.7109375" style="1" bestFit="1" customWidth="1"/>
    <col min="4" max="6" width="11.57421875" style="1" customWidth="1"/>
    <col min="7" max="7" width="11.7109375" style="1" bestFit="1" customWidth="1"/>
    <col min="8" max="8" width="11.8515625" style="1" bestFit="1" customWidth="1"/>
    <col min="9" max="9" width="10.421875" style="1" bestFit="1" customWidth="1"/>
    <col min="10" max="11" width="10.28125" style="1" customWidth="1"/>
    <col min="12" max="12" width="9.140625" style="1" bestFit="1" customWidth="1"/>
    <col min="13" max="13" width="7.8515625" style="1" bestFit="1" customWidth="1"/>
    <col min="14" max="14" width="10.28125" style="1" customWidth="1"/>
    <col min="15" max="15" width="10.28125" style="1" bestFit="1" customWidth="1"/>
    <col min="16" max="16" width="11.00390625" style="1" customWidth="1"/>
    <col min="17" max="17" width="13.8515625" style="1" bestFit="1" customWidth="1"/>
    <col min="18" max="18" width="12.57421875" style="1" bestFit="1" customWidth="1"/>
    <col min="19" max="19" width="9.28125" style="1" bestFit="1" customWidth="1"/>
    <col min="20" max="20" width="1.28515625" style="1" customWidth="1"/>
    <col min="21" max="21" width="11.28125" style="1" customWidth="1"/>
    <col min="22" max="22" width="11.7109375" style="1" customWidth="1"/>
    <col min="23" max="23" width="10.421875" style="1" bestFit="1" customWidth="1"/>
    <col min="24" max="24" width="10.28125" style="1" bestFit="1" customWidth="1"/>
    <col min="25" max="25" width="11.00390625" style="1" bestFit="1" customWidth="1"/>
    <col min="26" max="26" width="10.28125" style="1" bestFit="1" customWidth="1"/>
    <col min="27" max="27" width="10.28125" style="1" customWidth="1"/>
    <col min="28" max="28" width="9.00390625" style="1" bestFit="1" customWidth="1"/>
    <col min="29" max="29" width="7.140625" style="1" bestFit="1" customWidth="1"/>
    <col min="30" max="30" width="13.57421875" style="1" bestFit="1" customWidth="1"/>
    <col min="31" max="31" width="10.28125" style="1" bestFit="1" customWidth="1"/>
    <col min="32" max="32" width="11.28125" style="1" bestFit="1" customWidth="1"/>
    <col min="33" max="33" width="13.8515625" style="1" bestFit="1" customWidth="1"/>
    <col min="34" max="34" width="12.140625" style="1" bestFit="1" customWidth="1"/>
    <col min="35" max="36" width="12.140625" style="1" customWidth="1"/>
    <col min="37" max="37" width="1.7109375" style="1" customWidth="1"/>
    <col min="38" max="38" width="14.8515625" style="1" bestFit="1" customWidth="1"/>
    <col min="39" max="39" width="11.57421875" style="1" customWidth="1"/>
    <col min="40" max="40" width="2.7109375" style="1" customWidth="1"/>
    <col min="41" max="16384" width="9.140625" style="1" customWidth="1"/>
  </cols>
  <sheetData>
    <row r="1" spans="1:39" ht="16.5" thickBot="1">
      <c r="A1" s="436"/>
      <c r="B1" s="574"/>
      <c r="C1" s="437"/>
      <c r="D1" s="437"/>
      <c r="E1" s="437"/>
      <c r="F1" s="437"/>
      <c r="G1" s="437"/>
      <c r="H1" s="438"/>
      <c r="I1" s="416" t="s">
        <v>255</v>
      </c>
      <c r="J1" s="415" t="s">
        <v>285</v>
      </c>
      <c r="K1" s="415"/>
      <c r="L1" s="415"/>
      <c r="M1" s="415"/>
      <c r="N1" s="415"/>
      <c r="O1" s="415"/>
      <c r="P1" s="415"/>
      <c r="Q1" s="415"/>
      <c r="R1" s="415"/>
      <c r="S1" s="417"/>
      <c r="T1" s="415"/>
      <c r="U1" s="414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7"/>
      <c r="AK1" s="415"/>
      <c r="AL1" s="414"/>
      <c r="AM1" s="417"/>
    </row>
    <row r="2" spans="1:39" ht="16.5" thickBot="1">
      <c r="A2" s="58"/>
      <c r="B2" s="205"/>
      <c r="C2" s="53"/>
      <c r="D2" s="53"/>
      <c r="E2" s="53"/>
      <c r="F2" s="53"/>
      <c r="G2" s="53"/>
      <c r="H2" s="402"/>
      <c r="I2" s="21"/>
      <c r="J2" s="21"/>
      <c r="K2" s="21"/>
      <c r="L2" s="21"/>
      <c r="M2" s="21"/>
      <c r="N2" s="21"/>
      <c r="O2" s="21"/>
      <c r="P2" s="21"/>
      <c r="Q2" s="21"/>
      <c r="R2" s="21"/>
      <c r="S2" s="99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99"/>
      <c r="AL2" s="20"/>
      <c r="AM2" s="99"/>
    </row>
    <row r="3" spans="1:39" s="5" customFormat="1" ht="15.75">
      <c r="A3" s="521"/>
      <c r="B3" s="545"/>
      <c r="C3" s="536" t="s">
        <v>136</v>
      </c>
      <c r="D3" s="536"/>
      <c r="E3" s="536"/>
      <c r="F3" s="536"/>
      <c r="G3" s="536" t="s">
        <v>125</v>
      </c>
      <c r="H3" s="537" t="s">
        <v>138</v>
      </c>
      <c r="I3" s="536" t="s">
        <v>24</v>
      </c>
      <c r="J3" s="536" t="s">
        <v>145</v>
      </c>
      <c r="K3" s="536" t="s">
        <v>213</v>
      </c>
      <c r="L3" s="565"/>
      <c r="M3" s="539"/>
      <c r="N3" s="539" t="s">
        <v>137</v>
      </c>
      <c r="O3" s="537"/>
      <c r="P3" s="537" t="s">
        <v>140</v>
      </c>
      <c r="Q3" s="537" t="s">
        <v>257</v>
      </c>
      <c r="R3" s="537" t="s">
        <v>143</v>
      </c>
      <c r="S3" s="540" t="s">
        <v>147</v>
      </c>
      <c r="T3" s="390"/>
      <c r="U3" s="186"/>
      <c r="V3" s="187"/>
      <c r="W3" s="187"/>
      <c r="X3" s="175" t="s">
        <v>125</v>
      </c>
      <c r="Y3" s="176" t="s">
        <v>138</v>
      </c>
      <c r="Z3" s="175" t="s">
        <v>24</v>
      </c>
      <c r="AA3" s="175" t="s">
        <v>146</v>
      </c>
      <c r="AB3" s="177"/>
      <c r="AC3" s="178"/>
      <c r="AD3" s="178" t="s">
        <v>137</v>
      </c>
      <c r="AE3" s="176"/>
      <c r="AF3" s="176" t="s">
        <v>140</v>
      </c>
      <c r="AG3" s="176" t="s">
        <v>257</v>
      </c>
      <c r="AH3" s="179" t="s">
        <v>144</v>
      </c>
      <c r="AI3" s="191" t="s">
        <v>144</v>
      </c>
      <c r="AJ3" s="191" t="s">
        <v>147</v>
      </c>
      <c r="AL3" s="439" t="s">
        <v>2</v>
      </c>
      <c r="AM3" s="440" t="s">
        <v>148</v>
      </c>
    </row>
    <row r="4" spans="1:39" s="5" customFormat="1" ht="16.5" thickBot="1">
      <c r="A4" s="523" t="s">
        <v>23</v>
      </c>
      <c r="B4" s="525" t="s">
        <v>24</v>
      </c>
      <c r="C4" s="524" t="s">
        <v>21</v>
      </c>
      <c r="D4" s="524"/>
      <c r="E4" s="524"/>
      <c r="F4" s="524"/>
      <c r="G4" s="524" t="s">
        <v>137</v>
      </c>
      <c r="H4" s="524" t="s">
        <v>126</v>
      </c>
      <c r="I4" s="524" t="s">
        <v>126</v>
      </c>
      <c r="J4" s="524" t="s">
        <v>126</v>
      </c>
      <c r="K4" s="524" t="s">
        <v>286</v>
      </c>
      <c r="L4" s="524" t="s">
        <v>27</v>
      </c>
      <c r="M4" s="524" t="s">
        <v>139</v>
      </c>
      <c r="N4" s="524" t="s">
        <v>141</v>
      </c>
      <c r="O4" s="524" t="s">
        <v>258</v>
      </c>
      <c r="P4" s="524" t="s">
        <v>141</v>
      </c>
      <c r="Q4" s="524" t="s">
        <v>142</v>
      </c>
      <c r="R4" s="524" t="s">
        <v>137</v>
      </c>
      <c r="S4" s="571" t="s">
        <v>21</v>
      </c>
      <c r="T4" s="578"/>
      <c r="U4" s="188"/>
      <c r="V4" s="189"/>
      <c r="W4" s="189"/>
      <c r="X4" s="180" t="s">
        <v>137</v>
      </c>
      <c r="Y4" s="180" t="s">
        <v>126</v>
      </c>
      <c r="Z4" s="180" t="s">
        <v>126</v>
      </c>
      <c r="AA4" s="180" t="s">
        <v>126</v>
      </c>
      <c r="AB4" s="180" t="s">
        <v>27</v>
      </c>
      <c r="AC4" s="180" t="s">
        <v>139</v>
      </c>
      <c r="AD4" s="180" t="s">
        <v>141</v>
      </c>
      <c r="AE4" s="180" t="s">
        <v>258</v>
      </c>
      <c r="AF4" s="180" t="s">
        <v>141</v>
      </c>
      <c r="AG4" s="180" t="s">
        <v>142</v>
      </c>
      <c r="AH4" s="181" t="s">
        <v>137</v>
      </c>
      <c r="AI4" s="192" t="s">
        <v>149</v>
      </c>
      <c r="AJ4" s="192" t="s">
        <v>21</v>
      </c>
      <c r="AL4" s="441" t="s">
        <v>37</v>
      </c>
      <c r="AM4" s="442" t="s">
        <v>21</v>
      </c>
    </row>
    <row r="5" spans="1:39" s="5" customFormat="1" ht="15.75">
      <c r="A5" s="610" t="s">
        <v>1</v>
      </c>
      <c r="B5" s="442"/>
      <c r="C5" s="566"/>
      <c r="D5" s="567">
        <v>0.022</v>
      </c>
      <c r="E5" s="567">
        <v>0.022</v>
      </c>
      <c r="F5" s="567">
        <v>0.022</v>
      </c>
      <c r="G5" s="566"/>
      <c r="H5" s="567">
        <v>0.022</v>
      </c>
      <c r="I5" s="567">
        <v>0.022</v>
      </c>
      <c r="J5" s="567">
        <v>0.022</v>
      </c>
      <c r="K5" s="573">
        <v>0</v>
      </c>
      <c r="L5" s="566"/>
      <c r="M5" s="566"/>
      <c r="N5" s="566"/>
      <c r="O5" s="566"/>
      <c r="P5" s="566"/>
      <c r="Q5" s="566"/>
      <c r="R5" s="566"/>
      <c r="S5" s="571"/>
      <c r="T5" s="578"/>
      <c r="U5" s="575">
        <v>0</v>
      </c>
      <c r="V5" s="183">
        <v>0</v>
      </c>
      <c r="W5" s="183">
        <v>0</v>
      </c>
      <c r="X5" s="182"/>
      <c r="Y5" s="183">
        <v>0</v>
      </c>
      <c r="Z5" s="183">
        <v>0</v>
      </c>
      <c r="AA5" s="183">
        <v>0</v>
      </c>
      <c r="AB5" s="182"/>
      <c r="AC5" s="182"/>
      <c r="AD5" s="182"/>
      <c r="AE5" s="182"/>
      <c r="AF5" s="182"/>
      <c r="AG5" s="182"/>
      <c r="AH5" s="182"/>
      <c r="AI5" s="182"/>
      <c r="AJ5" s="318"/>
      <c r="AL5" s="441"/>
      <c r="AM5" s="443"/>
    </row>
    <row r="6" spans="1:39" s="5" customFormat="1" ht="15.75">
      <c r="A6" s="610">
        <v>2009</v>
      </c>
      <c r="B6" s="442"/>
      <c r="C6" s="566"/>
      <c r="D6" s="568">
        <v>40726</v>
      </c>
      <c r="E6" s="568">
        <v>81452</v>
      </c>
      <c r="F6" s="568">
        <v>123184</v>
      </c>
      <c r="G6" s="566"/>
      <c r="H6" s="568">
        <v>10320</v>
      </c>
      <c r="I6" s="568">
        <v>5276</v>
      </c>
      <c r="J6" s="568">
        <v>10320</v>
      </c>
      <c r="K6" s="568">
        <v>2000</v>
      </c>
      <c r="L6" s="566"/>
      <c r="M6" s="566"/>
      <c r="N6" s="566"/>
      <c r="O6" s="566"/>
      <c r="P6" s="568">
        <v>200</v>
      </c>
      <c r="Q6" s="566"/>
      <c r="R6" s="566"/>
      <c r="S6" s="571"/>
      <c r="T6" s="578"/>
      <c r="U6" s="576">
        <v>29590</v>
      </c>
      <c r="V6" s="184">
        <v>59180</v>
      </c>
      <c r="W6" s="184">
        <v>93000</v>
      </c>
      <c r="X6" s="182"/>
      <c r="Y6" s="184">
        <v>7731</v>
      </c>
      <c r="Z6" s="184">
        <v>3775</v>
      </c>
      <c r="AA6" s="184">
        <v>6565</v>
      </c>
      <c r="AB6" s="182"/>
      <c r="AC6" s="182"/>
      <c r="AD6" s="182"/>
      <c r="AE6" s="182"/>
      <c r="AF6" s="184">
        <v>200</v>
      </c>
      <c r="AG6" s="182"/>
      <c r="AH6" s="182"/>
      <c r="AI6" s="182"/>
      <c r="AJ6" s="318"/>
      <c r="AL6" s="441"/>
      <c r="AM6" s="443"/>
    </row>
    <row r="7" spans="1:39" s="5" customFormat="1" ht="16.5" thickBot="1">
      <c r="A7" s="572"/>
      <c r="B7" s="443"/>
      <c r="C7" s="566"/>
      <c r="D7" s="569">
        <v>0.15</v>
      </c>
      <c r="E7" s="570">
        <v>0.22</v>
      </c>
      <c r="F7" s="570">
        <v>0.26</v>
      </c>
      <c r="G7" s="570">
        <v>0.29</v>
      </c>
      <c r="H7" s="567"/>
      <c r="I7" s="568">
        <v>30936</v>
      </c>
      <c r="J7" s="568"/>
      <c r="K7" s="568"/>
      <c r="L7" s="566"/>
      <c r="M7" s="566"/>
      <c r="N7" s="569">
        <v>0.15</v>
      </c>
      <c r="O7" s="566"/>
      <c r="P7" s="566"/>
      <c r="Q7" s="566"/>
      <c r="R7" s="566"/>
      <c r="S7" s="541"/>
      <c r="T7" s="391"/>
      <c r="U7" s="577">
        <v>0.0879</v>
      </c>
      <c r="V7" s="185">
        <v>0.1495</v>
      </c>
      <c r="W7" s="185">
        <v>0.1667</v>
      </c>
      <c r="X7" s="185">
        <v>0.175</v>
      </c>
      <c r="Y7" s="183"/>
      <c r="Z7" s="184">
        <v>26284</v>
      </c>
      <c r="AA7" s="184"/>
      <c r="AB7" s="182"/>
      <c r="AC7" s="182"/>
      <c r="AD7" s="185">
        <v>0.0879</v>
      </c>
      <c r="AE7" s="182"/>
      <c r="AF7" s="182"/>
      <c r="AG7" s="182"/>
      <c r="AH7" s="182"/>
      <c r="AI7" s="182"/>
      <c r="AJ7" s="318"/>
      <c r="AL7" s="441"/>
      <c r="AM7" s="443"/>
    </row>
    <row r="8" spans="1:39" ht="15">
      <c r="A8" s="58"/>
      <c r="B8" s="205"/>
      <c r="C8" s="53"/>
      <c r="D8" s="53"/>
      <c r="E8" s="53"/>
      <c r="F8" s="53"/>
      <c r="G8" s="53"/>
      <c r="H8" s="53"/>
      <c r="I8" s="277"/>
      <c r="J8" s="277"/>
      <c r="K8" s="277"/>
      <c r="L8" s="277"/>
      <c r="M8" s="277"/>
      <c r="N8" s="277"/>
      <c r="O8" s="21"/>
      <c r="P8" s="21"/>
      <c r="Q8" s="21"/>
      <c r="R8" s="21"/>
      <c r="S8" s="99"/>
      <c r="T8" s="21"/>
      <c r="U8" s="20"/>
      <c r="V8" s="21"/>
      <c r="W8" s="21"/>
      <c r="X8" s="53"/>
      <c r="Y8" s="53"/>
      <c r="Z8" s="277"/>
      <c r="AA8" s="277"/>
      <c r="AB8" s="277"/>
      <c r="AC8" s="277"/>
      <c r="AD8" s="277"/>
      <c r="AE8" s="21"/>
      <c r="AF8" s="21"/>
      <c r="AG8" s="21"/>
      <c r="AH8" s="21"/>
      <c r="AI8" s="21"/>
      <c r="AJ8" s="99"/>
      <c r="AL8" s="20"/>
      <c r="AM8" s="99"/>
    </row>
    <row r="9" spans="1:39" ht="15.75">
      <c r="A9" s="58">
        <v>2009</v>
      </c>
      <c r="B9" s="205">
        <v>54</v>
      </c>
      <c r="C9" s="174">
        <v>49520.78081014555</v>
      </c>
      <c r="D9" s="174">
        <v>40726</v>
      </c>
      <c r="E9" s="174">
        <v>81452</v>
      </c>
      <c r="F9" s="174">
        <v>123184</v>
      </c>
      <c r="G9" s="174">
        <v>8043.751778232021</v>
      </c>
      <c r="H9" s="53">
        <v>10320</v>
      </c>
      <c r="I9" s="322" t="s">
        <v>1</v>
      </c>
      <c r="J9" s="278">
        <v>1062.25</v>
      </c>
      <c r="K9" s="278">
        <v>0</v>
      </c>
      <c r="L9" s="53">
        <v>2049.3</v>
      </c>
      <c r="M9" s="278">
        <v>711.03</v>
      </c>
      <c r="N9" s="278">
        <v>2121.3869999999997</v>
      </c>
      <c r="O9" s="278">
        <v>400</v>
      </c>
      <c r="P9" s="53">
        <v>88</v>
      </c>
      <c r="Q9" s="53">
        <v>2209.3869999999997</v>
      </c>
      <c r="R9" s="319">
        <v>5834.364778232021</v>
      </c>
      <c r="S9" s="197">
        <v>0.11781649406135188</v>
      </c>
      <c r="T9" s="21"/>
      <c r="U9" s="298">
        <v>29590</v>
      </c>
      <c r="V9" s="174">
        <v>59180</v>
      </c>
      <c r="W9" s="174">
        <v>93000</v>
      </c>
      <c r="X9" s="174">
        <v>5580.61273111676</v>
      </c>
      <c r="Y9" s="53">
        <v>7731</v>
      </c>
      <c r="Z9" s="322" t="s">
        <v>1</v>
      </c>
      <c r="AA9" s="320">
        <v>0</v>
      </c>
      <c r="AB9" s="278">
        <v>2049.3</v>
      </c>
      <c r="AC9" s="278">
        <v>711.03</v>
      </c>
      <c r="AD9" s="278">
        <v>922.1879070000001</v>
      </c>
      <c r="AE9" s="278">
        <v>400</v>
      </c>
      <c r="AF9" s="53">
        <v>52.58</v>
      </c>
      <c r="AG9" s="53">
        <v>974.7679070000002</v>
      </c>
      <c r="AH9" s="319">
        <v>4605.84482411676</v>
      </c>
      <c r="AI9" s="319">
        <v>0</v>
      </c>
      <c r="AJ9" s="321">
        <v>0.0930083239554482</v>
      </c>
      <c r="AL9" s="229">
        <v>10440.209602348781</v>
      </c>
      <c r="AM9" s="197">
        <v>0.21082481801680006</v>
      </c>
    </row>
    <row r="10" spans="1:39" ht="15.75">
      <c r="A10" s="58">
        <v>2010</v>
      </c>
      <c r="B10" s="205">
        <v>55</v>
      </c>
      <c r="C10" s="174">
        <v>50432.36078795478</v>
      </c>
      <c r="D10" s="174">
        <v>41621.972</v>
      </c>
      <c r="E10" s="174">
        <v>83243.944</v>
      </c>
      <c r="F10" s="174">
        <v>125894.048</v>
      </c>
      <c r="G10" s="174">
        <v>8181.581333350051</v>
      </c>
      <c r="H10" s="53">
        <v>10547.04</v>
      </c>
      <c r="I10" s="322" t="s">
        <v>1</v>
      </c>
      <c r="J10" s="278">
        <v>1199.6618750000016</v>
      </c>
      <c r="K10" s="278">
        <v>0</v>
      </c>
      <c r="L10" s="53">
        <v>2091.5284500000002</v>
      </c>
      <c r="M10" s="278">
        <v>724.5395699999999</v>
      </c>
      <c r="N10" s="278">
        <v>2184.41548425</v>
      </c>
      <c r="O10" s="278">
        <v>420</v>
      </c>
      <c r="P10" s="53">
        <v>93.8</v>
      </c>
      <c r="Q10" s="53">
        <v>2278.2154842500004</v>
      </c>
      <c r="R10" s="319">
        <v>5903.365849100051</v>
      </c>
      <c r="S10" s="197">
        <v>0.11705511613705788</v>
      </c>
      <c r="T10" s="21"/>
      <c r="U10" s="298">
        <v>29590</v>
      </c>
      <c r="V10" s="174">
        <v>59180</v>
      </c>
      <c r="W10" s="174">
        <v>93000</v>
      </c>
      <c r="X10" s="174">
        <v>5716.893937799239</v>
      </c>
      <c r="Y10" s="53">
        <v>7731</v>
      </c>
      <c r="Z10" s="322" t="s">
        <v>1</v>
      </c>
      <c r="AA10" s="320">
        <v>0</v>
      </c>
      <c r="AB10" s="278">
        <v>2091.5284500000002</v>
      </c>
      <c r="AC10" s="278">
        <v>724.5395699999999</v>
      </c>
      <c r="AD10" s="278">
        <v>927.087278958</v>
      </c>
      <c r="AE10" s="278">
        <v>420</v>
      </c>
      <c r="AF10" s="53">
        <v>56.08</v>
      </c>
      <c r="AG10" s="53">
        <v>983.167278958</v>
      </c>
      <c r="AH10" s="319">
        <v>4733.726658841239</v>
      </c>
      <c r="AI10" s="319">
        <v>0</v>
      </c>
      <c r="AJ10" s="321">
        <v>0.09386288059653632</v>
      </c>
      <c r="AL10" s="229">
        <v>10637.09250794129</v>
      </c>
      <c r="AM10" s="197">
        <v>0.2109179967335942</v>
      </c>
    </row>
    <row r="11" spans="1:39" ht="15.75">
      <c r="A11" s="58">
        <v>2011</v>
      </c>
      <c r="B11" s="205">
        <v>56</v>
      </c>
      <c r="C11" s="174">
        <v>51534.97560374277</v>
      </c>
      <c r="D11" s="174">
        <v>42537.655384</v>
      </c>
      <c r="E11" s="174">
        <v>85075.310768</v>
      </c>
      <c r="F11" s="174">
        <v>128663.717056</v>
      </c>
      <c r="G11" s="174">
        <v>8360.05875594341</v>
      </c>
      <c r="H11" s="53">
        <v>10779.074880000002</v>
      </c>
      <c r="I11" s="322" t="s">
        <v>1</v>
      </c>
      <c r="J11" s="278">
        <v>1335.9290753125042</v>
      </c>
      <c r="K11" s="278">
        <v>0</v>
      </c>
      <c r="L11" s="53">
        <v>2134.5592405499997</v>
      </c>
      <c r="M11" s="278">
        <v>738.3058218299999</v>
      </c>
      <c r="N11" s="278">
        <v>2248.1803526538756</v>
      </c>
      <c r="O11" s="278">
        <v>441</v>
      </c>
      <c r="P11" s="53">
        <v>99.89</v>
      </c>
      <c r="Q11" s="53">
        <v>2348.0703526538755</v>
      </c>
      <c r="R11" s="319">
        <v>6011.988403289534</v>
      </c>
      <c r="S11" s="197">
        <v>0.11665841174576802</v>
      </c>
      <c r="T11" s="21"/>
      <c r="U11" s="298">
        <v>29590</v>
      </c>
      <c r="V11" s="174">
        <v>59180</v>
      </c>
      <c r="W11" s="174">
        <v>93000</v>
      </c>
      <c r="X11" s="174">
        <v>5881.734852759544</v>
      </c>
      <c r="Y11" s="53">
        <v>7731</v>
      </c>
      <c r="Z11" s="322" t="s">
        <v>1</v>
      </c>
      <c r="AA11" s="320">
        <v>0</v>
      </c>
      <c r="AB11" s="278">
        <v>2134.5592405499997</v>
      </c>
      <c r="AC11" s="278">
        <v>738.3058218299999</v>
      </c>
      <c r="AD11" s="278">
        <v>932.079738983202</v>
      </c>
      <c r="AE11" s="278">
        <v>441</v>
      </c>
      <c r="AF11" s="53">
        <v>59.755</v>
      </c>
      <c r="AG11" s="53">
        <v>991.834738983202</v>
      </c>
      <c r="AH11" s="319">
        <v>4889.900113776343</v>
      </c>
      <c r="AI11" s="319">
        <v>0</v>
      </c>
      <c r="AJ11" s="321">
        <v>0.09488507671712586</v>
      </c>
      <c r="AL11" s="229">
        <v>10901.888517065876</v>
      </c>
      <c r="AM11" s="197">
        <v>0.21154348846289386</v>
      </c>
    </row>
    <row r="12" spans="1:39" ht="15.75">
      <c r="A12" s="58">
        <v>2012</v>
      </c>
      <c r="B12" s="205">
        <v>57</v>
      </c>
      <c r="C12" s="174">
        <v>52670.8628609834</v>
      </c>
      <c r="D12" s="174">
        <v>43473.483802448</v>
      </c>
      <c r="E12" s="174">
        <v>86946.967604896</v>
      </c>
      <c r="F12" s="174">
        <v>131494.318831232</v>
      </c>
      <c r="G12" s="174">
        <v>8544.445963244987</v>
      </c>
      <c r="H12" s="53">
        <v>11016.214527360002</v>
      </c>
      <c r="I12" s="322" t="s">
        <v>1</v>
      </c>
      <c r="J12" s="278">
        <v>1471.0029406217218</v>
      </c>
      <c r="K12" s="278">
        <v>0</v>
      </c>
      <c r="L12" s="53">
        <v>2178.40761612045</v>
      </c>
      <c r="M12" s="278">
        <v>752.3336324447698</v>
      </c>
      <c r="N12" s="278">
        <v>2312.6938074820414</v>
      </c>
      <c r="O12" s="278">
        <v>463.05</v>
      </c>
      <c r="P12" s="53">
        <v>106.2845</v>
      </c>
      <c r="Q12" s="53">
        <v>2418.9783074820416</v>
      </c>
      <c r="R12" s="319">
        <v>6125.4676557629455</v>
      </c>
      <c r="S12" s="197">
        <v>0.11629708197357941</v>
      </c>
      <c r="T12" s="21"/>
      <c r="U12" s="298">
        <v>29590</v>
      </c>
      <c r="V12" s="174">
        <v>59180</v>
      </c>
      <c r="W12" s="174">
        <v>93000</v>
      </c>
      <c r="X12" s="174">
        <v>6051.549997717018</v>
      </c>
      <c r="Y12" s="53">
        <v>7731</v>
      </c>
      <c r="Z12" s="322" t="s">
        <v>1</v>
      </c>
      <c r="AA12" s="320">
        <v>0</v>
      </c>
      <c r="AB12" s="278">
        <v>2178.40761612045</v>
      </c>
      <c r="AC12" s="278">
        <v>752.3336324447698</v>
      </c>
      <c r="AD12" s="278">
        <v>937.167055748883</v>
      </c>
      <c r="AE12" s="278">
        <v>463.05</v>
      </c>
      <c r="AF12" s="53">
        <v>63.61375</v>
      </c>
      <c r="AG12" s="53">
        <v>1000.7808057488829</v>
      </c>
      <c r="AH12" s="319">
        <v>5050.769191968136</v>
      </c>
      <c r="AI12" s="319">
        <v>0</v>
      </c>
      <c r="AJ12" s="321">
        <v>0.09589304062283659</v>
      </c>
      <c r="AL12" s="229">
        <v>11176.236847731081</v>
      </c>
      <c r="AM12" s="197">
        <v>0.21219012259641598</v>
      </c>
    </row>
    <row r="13" spans="1:39" ht="15.75">
      <c r="A13" s="58">
        <v>2013</v>
      </c>
      <c r="B13" s="205">
        <v>58</v>
      </c>
      <c r="C13" s="174">
        <v>53869.62370947302</v>
      </c>
      <c r="D13" s="174">
        <v>44429.900446101856</v>
      </c>
      <c r="E13" s="174">
        <v>88859.80089220371</v>
      </c>
      <c r="F13" s="174">
        <v>134387.1938455191</v>
      </c>
      <c r="G13" s="174">
        <v>8741.224184856934</v>
      </c>
      <c r="H13" s="53">
        <v>11258.571246961921</v>
      </c>
      <c r="I13" s="322" t="s">
        <v>1</v>
      </c>
      <c r="J13" s="278">
        <v>1489.0504088082835</v>
      </c>
      <c r="K13" s="278">
        <v>0</v>
      </c>
      <c r="L13" s="53">
        <v>2223.0891108267383</v>
      </c>
      <c r="M13" s="278">
        <v>766.6279714612205</v>
      </c>
      <c r="N13" s="278">
        <v>2360.6008107087246</v>
      </c>
      <c r="O13" s="278">
        <v>486.2025</v>
      </c>
      <c r="P13" s="53">
        <v>112.99872500000001</v>
      </c>
      <c r="Q13" s="53">
        <v>2473.5995357087245</v>
      </c>
      <c r="R13" s="319">
        <v>6267.624649148209</v>
      </c>
      <c r="S13" s="197">
        <v>0.11634803099703185</v>
      </c>
      <c r="T13" s="21"/>
      <c r="U13" s="298">
        <v>29590</v>
      </c>
      <c r="V13" s="174">
        <v>59180</v>
      </c>
      <c r="W13" s="174">
        <v>93000</v>
      </c>
      <c r="X13" s="174">
        <v>6230.764744566216</v>
      </c>
      <c r="Y13" s="53">
        <v>7731</v>
      </c>
      <c r="Z13" s="322" t="s">
        <v>1</v>
      </c>
      <c r="AA13" s="320">
        <v>0</v>
      </c>
      <c r="AB13" s="278">
        <v>2223.0891108267383</v>
      </c>
      <c r="AC13" s="278">
        <v>766.6279714612205</v>
      </c>
      <c r="AD13" s="278">
        <v>942.3510315331117</v>
      </c>
      <c r="AE13" s="278">
        <v>486.2025</v>
      </c>
      <c r="AF13" s="53">
        <v>67.66543750000001</v>
      </c>
      <c r="AG13" s="53">
        <v>1010.0164690331118</v>
      </c>
      <c r="AH13" s="319">
        <v>5220.748275533104</v>
      </c>
      <c r="AI13" s="319">
        <v>0</v>
      </c>
      <c r="AJ13" s="321">
        <v>0.09691451166782572</v>
      </c>
      <c r="AL13" s="229">
        <v>11488.372924681313</v>
      </c>
      <c r="AM13" s="197">
        <v>0.21326254266485759</v>
      </c>
    </row>
    <row r="14" spans="1:39" ht="15.75">
      <c r="A14" s="58">
        <v>2014</v>
      </c>
      <c r="B14" s="205">
        <v>59</v>
      </c>
      <c r="C14" s="174">
        <v>55101.78949495598</v>
      </c>
      <c r="D14" s="174">
        <v>45407.3582559161</v>
      </c>
      <c r="E14" s="174">
        <v>90814.7165118322</v>
      </c>
      <c r="F14" s="174">
        <v>137343.71211012054</v>
      </c>
      <c r="G14" s="174">
        <v>8943.878610976188</v>
      </c>
      <c r="H14" s="53">
        <v>11506.259814395084</v>
      </c>
      <c r="I14" s="322" t="s">
        <v>1</v>
      </c>
      <c r="J14" s="278">
        <v>1500.2793233518605</v>
      </c>
      <c r="K14" s="278">
        <v>0</v>
      </c>
      <c r="L14" s="53">
        <v>2268.619553932446</v>
      </c>
      <c r="M14" s="278">
        <v>781.1939029189834</v>
      </c>
      <c r="N14" s="278">
        <v>2408.4528891897558</v>
      </c>
      <c r="O14" s="278">
        <v>510.51262500000007</v>
      </c>
      <c r="P14" s="53">
        <v>120.04866125000001</v>
      </c>
      <c r="Q14" s="53">
        <v>2528.5015504397556</v>
      </c>
      <c r="R14" s="319">
        <v>6415.377060536432</v>
      </c>
      <c r="S14" s="197">
        <v>0.11642774434982181</v>
      </c>
      <c r="T14" s="21"/>
      <c r="U14" s="298">
        <v>29590</v>
      </c>
      <c r="V14" s="174">
        <v>59180</v>
      </c>
      <c r="W14" s="174">
        <v>93000</v>
      </c>
      <c r="X14" s="174">
        <v>6414.973529495919</v>
      </c>
      <c r="Y14" s="53">
        <v>7731</v>
      </c>
      <c r="Z14" s="322" t="s">
        <v>1</v>
      </c>
      <c r="AA14" s="320">
        <v>0</v>
      </c>
      <c r="AB14" s="278">
        <v>2268.619553932446</v>
      </c>
      <c r="AC14" s="278">
        <v>781.1939029189834</v>
      </c>
      <c r="AD14" s="278">
        <v>947.6335028572406</v>
      </c>
      <c r="AE14" s="278">
        <v>510.51262500000007</v>
      </c>
      <c r="AF14" s="53">
        <v>71.91970937500001</v>
      </c>
      <c r="AG14" s="53">
        <v>1019.5532122322406</v>
      </c>
      <c r="AH14" s="319">
        <v>5395.420317263679</v>
      </c>
      <c r="AI14" s="319">
        <v>0</v>
      </c>
      <c r="AJ14" s="321">
        <v>0.09791733384189956</v>
      </c>
      <c r="AL14" s="229">
        <v>11810.79737780011</v>
      </c>
      <c r="AM14" s="197">
        <v>0.21434507819172138</v>
      </c>
    </row>
    <row r="15" spans="1:39" ht="15.75">
      <c r="A15" s="58">
        <v>2015</v>
      </c>
      <c r="B15" s="205">
        <v>60</v>
      </c>
      <c r="C15" s="174">
        <v>55489.24984112163</v>
      </c>
      <c r="D15" s="174">
        <v>46406.320137546245</v>
      </c>
      <c r="E15" s="174">
        <v>92812.64027509249</v>
      </c>
      <c r="F15" s="174">
        <v>140365.27377654315</v>
      </c>
      <c r="G15" s="174">
        <v>8959.192555418522</v>
      </c>
      <c r="H15" s="53">
        <v>11759.397530311775</v>
      </c>
      <c r="I15" s="322" t="s">
        <v>1</v>
      </c>
      <c r="J15" s="278">
        <v>1622.5729349373323</v>
      </c>
      <c r="K15" s="278">
        <v>0</v>
      </c>
      <c r="L15" s="53">
        <v>2315.0150754571628</v>
      </c>
      <c r="M15" s="278">
        <v>796.0365870744444</v>
      </c>
      <c r="N15" s="278">
        <v>2473.953319167107</v>
      </c>
      <c r="O15" s="278">
        <v>536.0382562500001</v>
      </c>
      <c r="P15" s="53">
        <v>127.45109431250003</v>
      </c>
      <c r="Q15" s="53">
        <v>2601.4044134796072</v>
      </c>
      <c r="R15" s="319">
        <v>6357.788141938914</v>
      </c>
      <c r="S15" s="197">
        <v>0.11457693445383946</v>
      </c>
      <c r="T15" s="21"/>
      <c r="U15" s="298">
        <v>29590</v>
      </c>
      <c r="V15" s="174">
        <v>59180</v>
      </c>
      <c r="W15" s="174">
        <v>93000</v>
      </c>
      <c r="X15" s="174">
        <v>6472.8988512476835</v>
      </c>
      <c r="Y15" s="53">
        <v>7731</v>
      </c>
      <c r="Z15" s="322" t="s">
        <v>1</v>
      </c>
      <c r="AA15" s="320">
        <v>0</v>
      </c>
      <c r="AB15" s="278">
        <v>2315.0150754571628</v>
      </c>
      <c r="AC15" s="278">
        <v>796.0365870744444</v>
      </c>
      <c r="AD15" s="278">
        <v>953.0163411365284</v>
      </c>
      <c r="AE15" s="278">
        <v>536.0382562500001</v>
      </c>
      <c r="AF15" s="53">
        <v>76.38669484375002</v>
      </c>
      <c r="AG15" s="53">
        <v>1029.4030359802784</v>
      </c>
      <c r="AH15" s="319">
        <v>5443.495815267405</v>
      </c>
      <c r="AI15" s="319">
        <v>0</v>
      </c>
      <c r="AJ15" s="321">
        <v>0.0981000073140901</v>
      </c>
      <c r="AL15" s="229">
        <v>11801.28395720632</v>
      </c>
      <c r="AM15" s="197">
        <v>0.2126769417679296</v>
      </c>
    </row>
    <row r="16" spans="1:39" ht="15.75">
      <c r="A16" s="58">
        <v>2016</v>
      </c>
      <c r="B16" s="205">
        <v>61</v>
      </c>
      <c r="C16" s="174">
        <v>56873.844359943854</v>
      </c>
      <c r="D16" s="174">
        <v>47427.25918057227</v>
      </c>
      <c r="E16" s="174">
        <v>94854.51836114454</v>
      </c>
      <c r="F16" s="174">
        <v>143453.3097996271</v>
      </c>
      <c r="G16" s="174">
        <v>9192.33761654759</v>
      </c>
      <c r="H16" s="53">
        <v>12018.104275978634</v>
      </c>
      <c r="I16" s="322" t="s">
        <v>1</v>
      </c>
      <c r="J16" s="278">
        <v>1602.4949919369428</v>
      </c>
      <c r="K16" s="278">
        <v>0</v>
      </c>
      <c r="L16" s="53">
        <v>2362.292111890849</v>
      </c>
      <c r="M16" s="278">
        <v>811.1612822288587</v>
      </c>
      <c r="N16" s="278">
        <v>2519.1078993052924</v>
      </c>
      <c r="O16" s="278">
        <v>562.8401690625002</v>
      </c>
      <c r="P16" s="53">
        <v>135.22364902812507</v>
      </c>
      <c r="Q16" s="53">
        <v>2654.3315483334177</v>
      </c>
      <c r="R16" s="319">
        <v>6538.006068214172</v>
      </c>
      <c r="S16" s="197">
        <v>0.11495628863834775</v>
      </c>
      <c r="T16" s="21"/>
      <c r="U16" s="298">
        <v>29590</v>
      </c>
      <c r="V16" s="174">
        <v>59180</v>
      </c>
      <c r="W16" s="174">
        <v>93000</v>
      </c>
      <c r="X16" s="174">
        <v>6679.895731811606</v>
      </c>
      <c r="Y16" s="53">
        <v>7731</v>
      </c>
      <c r="Z16" s="322" t="s">
        <v>1</v>
      </c>
      <c r="AA16" s="320">
        <v>0</v>
      </c>
      <c r="AB16" s="278">
        <v>2362.292111890849</v>
      </c>
      <c r="AC16" s="278">
        <v>811.1612822288587</v>
      </c>
      <c r="AD16" s="278">
        <v>958.5014533431224</v>
      </c>
      <c r="AE16" s="278">
        <v>562.8401690625002</v>
      </c>
      <c r="AF16" s="53">
        <v>81.07702958593754</v>
      </c>
      <c r="AG16" s="53">
        <v>1039.5784829290599</v>
      </c>
      <c r="AH16" s="319">
        <v>5640.317248882547</v>
      </c>
      <c r="AI16" s="319">
        <v>0</v>
      </c>
      <c r="AJ16" s="321">
        <v>0.09917242824638406</v>
      </c>
      <c r="AL16" s="229">
        <v>12178.323317096718</v>
      </c>
      <c r="AM16" s="197">
        <v>0.21412871688473178</v>
      </c>
    </row>
    <row r="17" spans="1:39" ht="15.75">
      <c r="A17" s="58">
        <v>2017</v>
      </c>
      <c r="B17" s="205">
        <v>62</v>
      </c>
      <c r="C17" s="174">
        <v>58292.95486446642</v>
      </c>
      <c r="D17" s="174">
        <v>48470.65888254486</v>
      </c>
      <c r="E17" s="174">
        <v>96941.31776508973</v>
      </c>
      <c r="F17" s="174">
        <v>146609.28261521895</v>
      </c>
      <c r="G17" s="174">
        <v>9431.503948404472</v>
      </c>
      <c r="H17" s="53">
        <v>12282.502570050165</v>
      </c>
      <c r="I17" s="322" t="s">
        <v>1</v>
      </c>
      <c r="J17" s="278">
        <v>1574.2625477649708</v>
      </c>
      <c r="K17" s="278">
        <v>0</v>
      </c>
      <c r="L17" s="53">
        <v>2410.4674120167747</v>
      </c>
      <c r="M17" s="278">
        <v>826.573346591207</v>
      </c>
      <c r="N17" s="278">
        <v>2564.0708814634677</v>
      </c>
      <c r="O17" s="278">
        <v>590.9821775156253</v>
      </c>
      <c r="P17" s="53">
        <v>143.38483147953133</v>
      </c>
      <c r="Q17" s="53">
        <v>2707.455712942999</v>
      </c>
      <c r="R17" s="319">
        <v>6724.048235461472</v>
      </c>
      <c r="S17" s="197">
        <v>0.11534924333644038</v>
      </c>
      <c r="T17" s="21"/>
      <c r="U17" s="298">
        <v>29590</v>
      </c>
      <c r="V17" s="174">
        <v>59180</v>
      </c>
      <c r="W17" s="174">
        <v>93000</v>
      </c>
      <c r="X17" s="174">
        <v>6892.05275223773</v>
      </c>
      <c r="Y17" s="53">
        <v>7731</v>
      </c>
      <c r="Z17" s="322" t="s">
        <v>1</v>
      </c>
      <c r="AA17" s="320">
        <v>0</v>
      </c>
      <c r="AB17" s="278">
        <v>2410.4674120167747</v>
      </c>
      <c r="AC17" s="278">
        <v>826.573346591207</v>
      </c>
      <c r="AD17" s="278">
        <v>964.0907826816417</v>
      </c>
      <c r="AE17" s="278">
        <v>590.9821775156253</v>
      </c>
      <c r="AF17" s="53">
        <v>86.00188106523441</v>
      </c>
      <c r="AG17" s="53">
        <v>1050.092663746876</v>
      </c>
      <c r="AH17" s="319">
        <v>5841.960088490854</v>
      </c>
      <c r="AI17" s="319">
        <v>0</v>
      </c>
      <c r="AJ17" s="321">
        <v>0.10021725785000363</v>
      </c>
      <c r="AL17" s="229">
        <v>12566.008323952326</v>
      </c>
      <c r="AM17" s="197">
        <v>0.215566501186444</v>
      </c>
    </row>
    <row r="18" spans="1:39" ht="15.75">
      <c r="A18" s="58">
        <v>2018</v>
      </c>
      <c r="B18" s="205">
        <v>63</v>
      </c>
      <c r="C18" s="174">
        <v>10052.279166279917</v>
      </c>
      <c r="D18" s="174">
        <v>49537.01337796085</v>
      </c>
      <c r="E18" s="174">
        <v>99074.0267559217</v>
      </c>
      <c r="F18" s="174">
        <v>149834.68683275374</v>
      </c>
      <c r="G18" s="174">
        <v>1507.8418749419875</v>
      </c>
      <c r="H18" s="53">
        <v>12552.717626591268</v>
      </c>
      <c r="I18" s="322" t="s">
        <v>1</v>
      </c>
      <c r="J18" s="278">
        <v>9408.02342550575</v>
      </c>
      <c r="K18" s="278">
        <v>0</v>
      </c>
      <c r="L18" s="53">
        <v>0</v>
      </c>
      <c r="M18" s="278">
        <v>0</v>
      </c>
      <c r="N18" s="278">
        <v>3294.1111578145524</v>
      </c>
      <c r="O18" s="278">
        <v>620.5312863914065</v>
      </c>
      <c r="P18" s="53">
        <v>151.9540730535079</v>
      </c>
      <c r="Q18" s="53">
        <v>3446.06523086806</v>
      </c>
      <c r="R18" s="319">
        <v>0</v>
      </c>
      <c r="S18" s="197">
        <v>0</v>
      </c>
      <c r="T18" s="21"/>
      <c r="U18" s="298">
        <v>29590</v>
      </c>
      <c r="V18" s="174">
        <v>59180</v>
      </c>
      <c r="W18" s="174">
        <v>93000</v>
      </c>
      <c r="X18" s="174">
        <v>883.5953387160048</v>
      </c>
      <c r="Y18" s="53">
        <v>7731</v>
      </c>
      <c r="Z18" s="322" t="s">
        <v>1</v>
      </c>
      <c r="AA18" s="320">
        <v>3420.305798914482</v>
      </c>
      <c r="AB18" s="278">
        <v>0</v>
      </c>
      <c r="AC18" s="278">
        <v>0</v>
      </c>
      <c r="AD18" s="278">
        <v>980.199779724583</v>
      </c>
      <c r="AE18" s="278">
        <v>620.5312863914065</v>
      </c>
      <c r="AF18" s="53">
        <v>91.17297511849614</v>
      </c>
      <c r="AG18" s="53">
        <v>1071.372754843079</v>
      </c>
      <c r="AH18" s="319">
        <v>0</v>
      </c>
      <c r="AI18" s="319">
        <v>0</v>
      </c>
      <c r="AJ18" s="321">
        <v>0</v>
      </c>
      <c r="AL18" s="229">
        <v>0</v>
      </c>
      <c r="AM18" s="197">
        <v>0</v>
      </c>
    </row>
    <row r="19" spans="1:39" ht="15.75">
      <c r="A19" s="58">
        <v>2019</v>
      </c>
      <c r="B19" s="205">
        <v>64</v>
      </c>
      <c r="C19" s="174">
        <v>14938.914430241059</v>
      </c>
      <c r="D19" s="174">
        <v>50626.82767227599</v>
      </c>
      <c r="E19" s="174">
        <v>101253.65534455198</v>
      </c>
      <c r="F19" s="174">
        <v>153131.04994307432</v>
      </c>
      <c r="G19" s="174">
        <v>2240.8371645361585</v>
      </c>
      <c r="H19" s="53">
        <v>12828.877414376277</v>
      </c>
      <c r="I19" s="322"/>
      <c r="J19" s="278">
        <v>0</v>
      </c>
      <c r="K19" s="278">
        <v>0</v>
      </c>
      <c r="L19" s="53">
        <v>0</v>
      </c>
      <c r="M19" s="278">
        <v>0</v>
      </c>
      <c r="N19" s="278">
        <v>1924.3316121564415</v>
      </c>
      <c r="O19" s="278">
        <v>651.5578507109768</v>
      </c>
      <c r="P19" s="53">
        <v>160.95177670618327</v>
      </c>
      <c r="Q19" s="53">
        <v>2085.2833888626246</v>
      </c>
      <c r="R19" s="319">
        <v>155.5537756735339</v>
      </c>
      <c r="S19" s="197">
        <v>0.010412655912844923</v>
      </c>
      <c r="T19" s="21"/>
      <c r="U19" s="298">
        <v>29590</v>
      </c>
      <c r="V19" s="174">
        <v>59180</v>
      </c>
      <c r="W19" s="174">
        <v>93000</v>
      </c>
      <c r="X19" s="174">
        <v>1313.130578418189</v>
      </c>
      <c r="Y19" s="53">
        <v>7731</v>
      </c>
      <c r="Z19" s="53">
        <v>3775</v>
      </c>
      <c r="AA19" s="320">
        <v>0</v>
      </c>
      <c r="AB19" s="278">
        <v>0</v>
      </c>
      <c r="AC19" s="278">
        <v>0</v>
      </c>
      <c r="AD19" s="278">
        <v>1011.3774000000001</v>
      </c>
      <c r="AE19" s="278">
        <v>651.5578507109768</v>
      </c>
      <c r="AF19" s="53">
        <v>96.60262387442094</v>
      </c>
      <c r="AG19" s="53">
        <v>1107.980023874421</v>
      </c>
      <c r="AH19" s="319">
        <v>205.15055454376807</v>
      </c>
      <c r="AI19" s="319">
        <v>0</v>
      </c>
      <c r="AJ19" s="321">
        <v>0.01373262799661526</v>
      </c>
      <c r="AL19" s="229">
        <v>360.70433021730196</v>
      </c>
      <c r="AM19" s="197">
        <v>0.02414528390946018</v>
      </c>
    </row>
    <row r="20" spans="1:39" ht="15.75">
      <c r="A20" s="58">
        <v>2020</v>
      </c>
      <c r="B20" s="205">
        <v>65</v>
      </c>
      <c r="C20" s="174">
        <v>28518.93487981486</v>
      </c>
      <c r="D20" s="174">
        <v>51740.617881066064</v>
      </c>
      <c r="E20" s="174">
        <v>103481.23576213213</v>
      </c>
      <c r="F20" s="174">
        <v>156499.933041822</v>
      </c>
      <c r="G20" s="174">
        <v>4277.840231972229</v>
      </c>
      <c r="H20" s="53">
        <v>13111.112717492555</v>
      </c>
      <c r="I20" s="53">
        <v>6702.9293311522015</v>
      </c>
      <c r="J20" s="278">
        <v>0</v>
      </c>
      <c r="K20" s="278">
        <v>0</v>
      </c>
      <c r="L20" s="53">
        <v>0</v>
      </c>
      <c r="M20" s="278">
        <v>0</v>
      </c>
      <c r="N20" s="278">
        <v>2972.106307296713</v>
      </c>
      <c r="O20" s="278">
        <v>684.1357432465257</v>
      </c>
      <c r="P20" s="53">
        <v>170.39936554149244</v>
      </c>
      <c r="Q20" s="53">
        <v>3142.5056728382056</v>
      </c>
      <c r="R20" s="319">
        <v>1135.3345591340235</v>
      </c>
      <c r="S20" s="197">
        <v>0.03980985138184775</v>
      </c>
      <c r="T20" s="21"/>
      <c r="U20" s="298">
        <v>29590</v>
      </c>
      <c r="V20" s="174">
        <v>59180</v>
      </c>
      <c r="W20" s="174">
        <v>93000</v>
      </c>
      <c r="X20" s="174">
        <v>2506.8143759357263</v>
      </c>
      <c r="Y20" s="53">
        <v>7731</v>
      </c>
      <c r="Z20" s="53">
        <v>3439.759768027771</v>
      </c>
      <c r="AA20" s="320">
        <v>0</v>
      </c>
      <c r="AB20" s="278">
        <v>0</v>
      </c>
      <c r="AC20" s="278">
        <v>0</v>
      </c>
      <c r="AD20" s="278">
        <v>981.9097836096411</v>
      </c>
      <c r="AE20" s="278">
        <v>684.1357432465257</v>
      </c>
      <c r="AF20" s="53">
        <v>102.303755068142</v>
      </c>
      <c r="AG20" s="53">
        <v>1084.2135386777832</v>
      </c>
      <c r="AH20" s="319">
        <v>1422.600837257943</v>
      </c>
      <c r="AI20" s="319">
        <v>0</v>
      </c>
      <c r="AJ20" s="321">
        <v>0.04988267771054914</v>
      </c>
      <c r="AL20" s="229">
        <v>2557.9353963919666</v>
      </c>
      <c r="AM20" s="197">
        <v>0.08969252909239689</v>
      </c>
    </row>
    <row r="21" spans="1:39" ht="15.75">
      <c r="A21" s="58">
        <v>2021</v>
      </c>
      <c r="B21" s="205">
        <v>66</v>
      </c>
      <c r="C21" s="174">
        <v>29021.056666501616</v>
      </c>
      <c r="D21" s="174">
        <v>52878.91147444952</v>
      </c>
      <c r="E21" s="174">
        <v>105757.82294889903</v>
      </c>
      <c r="F21" s="174">
        <v>159942.93156874206</v>
      </c>
      <c r="G21" s="174">
        <v>4353.158499975242</v>
      </c>
      <c r="H21" s="53">
        <v>13399.557197277392</v>
      </c>
      <c r="I21" s="53">
        <v>6850.39377643755</v>
      </c>
      <c r="J21" s="278">
        <v>0</v>
      </c>
      <c r="K21" s="278">
        <v>0</v>
      </c>
      <c r="L21" s="53">
        <v>0</v>
      </c>
      <c r="M21" s="278">
        <v>0</v>
      </c>
      <c r="N21" s="278">
        <v>3037.492646057241</v>
      </c>
      <c r="O21" s="278">
        <v>718.3425304088521</v>
      </c>
      <c r="P21" s="53">
        <v>180.3193338185671</v>
      </c>
      <c r="Q21" s="53">
        <v>3217.811979875808</v>
      </c>
      <c r="R21" s="319">
        <v>1135.3465200994342</v>
      </c>
      <c r="S21" s="197">
        <v>0.03912147421599367</v>
      </c>
      <c r="T21" s="21"/>
      <c r="U21" s="298">
        <v>29590</v>
      </c>
      <c r="V21" s="174">
        <v>59180</v>
      </c>
      <c r="W21" s="174">
        <v>93000</v>
      </c>
      <c r="X21" s="174">
        <v>2550.9508809854924</v>
      </c>
      <c r="Y21" s="53">
        <v>7731</v>
      </c>
      <c r="Z21" s="53">
        <v>3364.4415000247577</v>
      </c>
      <c r="AA21" s="320">
        <v>0</v>
      </c>
      <c r="AB21" s="278">
        <v>0</v>
      </c>
      <c r="AC21" s="278">
        <v>0</v>
      </c>
      <c r="AD21" s="278">
        <v>975.2893078521762</v>
      </c>
      <c r="AE21" s="278">
        <v>718.3425304088521</v>
      </c>
      <c r="AF21" s="53">
        <v>108.2899428215491</v>
      </c>
      <c r="AG21" s="53">
        <v>1083.5792506737253</v>
      </c>
      <c r="AH21" s="319">
        <v>1467.3716303117671</v>
      </c>
      <c r="AI21" s="319">
        <v>0</v>
      </c>
      <c r="AJ21" s="321">
        <v>0.05056230884954381</v>
      </c>
      <c r="AL21" s="229">
        <v>2602.7181504112013</v>
      </c>
      <c r="AM21" s="197">
        <v>0.08968378306553748</v>
      </c>
    </row>
    <row r="22" spans="1:39" ht="15.75">
      <c r="A22" s="58">
        <v>2022</v>
      </c>
      <c r="B22" s="205">
        <v>67</v>
      </c>
      <c r="C22" s="174">
        <v>29532.122898876398</v>
      </c>
      <c r="D22" s="174">
        <v>54042.247526887404</v>
      </c>
      <c r="E22" s="174">
        <v>108084.49505377481</v>
      </c>
      <c r="F22" s="174">
        <v>163461.6760632544</v>
      </c>
      <c r="G22" s="174">
        <v>4429.81843483146</v>
      </c>
      <c r="H22" s="53">
        <v>13694.347455617495</v>
      </c>
      <c r="I22" s="53">
        <v>7001.102439519176</v>
      </c>
      <c r="J22" s="278">
        <v>0</v>
      </c>
      <c r="K22" s="278">
        <v>0</v>
      </c>
      <c r="L22" s="53">
        <v>0</v>
      </c>
      <c r="M22" s="278">
        <v>0</v>
      </c>
      <c r="N22" s="278">
        <v>3104.3174842705002</v>
      </c>
      <c r="O22" s="278">
        <v>754.2596569292947</v>
      </c>
      <c r="P22" s="53">
        <v>190.73530050949546</v>
      </c>
      <c r="Q22" s="53">
        <v>3295.052784779996</v>
      </c>
      <c r="R22" s="319">
        <v>1134.765650051464</v>
      </c>
      <c r="S22" s="197">
        <v>0.03842479099579523</v>
      </c>
      <c r="T22" s="21"/>
      <c r="U22" s="298">
        <v>29590</v>
      </c>
      <c r="V22" s="174">
        <v>59180</v>
      </c>
      <c r="W22" s="174">
        <v>93000</v>
      </c>
      <c r="X22" s="174">
        <v>2595.8736028112357</v>
      </c>
      <c r="Y22" s="53">
        <v>7731</v>
      </c>
      <c r="Z22" s="53">
        <v>3287.7815651685405</v>
      </c>
      <c r="AA22" s="320">
        <v>0</v>
      </c>
      <c r="AB22" s="278">
        <v>0</v>
      </c>
      <c r="AC22" s="278">
        <v>0</v>
      </c>
      <c r="AD22" s="278">
        <v>968.5508995783149</v>
      </c>
      <c r="AE22" s="278">
        <v>754.2596569292947</v>
      </c>
      <c r="AF22" s="53">
        <v>114.57543996262656</v>
      </c>
      <c r="AG22" s="53">
        <v>1083.1263395409414</v>
      </c>
      <c r="AH22" s="319">
        <v>1512.7472632702943</v>
      </c>
      <c r="AI22" s="319">
        <v>0</v>
      </c>
      <c r="AJ22" s="321">
        <v>0.051223790055670175</v>
      </c>
      <c r="AL22" s="229">
        <v>2647.5129133217583</v>
      </c>
      <c r="AM22" s="197">
        <v>0.0896485810514654</v>
      </c>
    </row>
    <row r="23" spans="1:39" ht="15.75">
      <c r="A23" s="58">
        <v>2023</v>
      </c>
      <c r="B23" s="205">
        <v>68</v>
      </c>
      <c r="C23" s="174">
        <v>30052.294511551907</v>
      </c>
      <c r="D23" s="174">
        <v>55231.17697247892</v>
      </c>
      <c r="E23" s="174">
        <v>110462.35394495784</v>
      </c>
      <c r="F23" s="174">
        <v>167057.83293664598</v>
      </c>
      <c r="G23" s="174">
        <v>4507.844176732786</v>
      </c>
      <c r="H23" s="53">
        <v>13995.62309964108</v>
      </c>
      <c r="I23" s="53">
        <v>7155.126693188597</v>
      </c>
      <c r="J23" s="278">
        <v>0</v>
      </c>
      <c r="K23" s="278">
        <v>0</v>
      </c>
      <c r="L23" s="53">
        <v>0</v>
      </c>
      <c r="M23" s="278">
        <v>0</v>
      </c>
      <c r="N23" s="278">
        <v>3172.612468924451</v>
      </c>
      <c r="O23" s="278">
        <v>791.9726397757595</v>
      </c>
      <c r="P23" s="53">
        <v>201.67206553497024</v>
      </c>
      <c r="Q23" s="53">
        <v>3374.2845344594216</v>
      </c>
      <c r="R23" s="319">
        <v>1133.5596422733643</v>
      </c>
      <c r="S23" s="197">
        <v>0.03771957052522666</v>
      </c>
      <c r="T23" s="21"/>
      <c r="U23" s="298">
        <v>29590</v>
      </c>
      <c r="V23" s="174">
        <v>59180</v>
      </c>
      <c r="W23" s="174">
        <v>93000</v>
      </c>
      <c r="X23" s="174">
        <v>2670.0740294770103</v>
      </c>
      <c r="Y23" s="53">
        <v>7731</v>
      </c>
      <c r="Z23" s="53">
        <v>3209.755823267214</v>
      </c>
      <c r="AA23" s="320">
        <v>0</v>
      </c>
      <c r="AB23" s="278">
        <v>0</v>
      </c>
      <c r="AC23" s="278">
        <v>0</v>
      </c>
      <c r="AD23" s="278">
        <v>961.6924368651883</v>
      </c>
      <c r="AE23" s="278">
        <v>791.9726397757595</v>
      </c>
      <c r="AF23" s="53">
        <v>121.1752119607579</v>
      </c>
      <c r="AG23" s="53">
        <v>1082.8676488259462</v>
      </c>
      <c r="AH23" s="319">
        <v>1587.2063806510641</v>
      </c>
      <c r="AI23" s="319">
        <v>0</v>
      </c>
      <c r="AJ23" s="321">
        <v>0.052814815189600656</v>
      </c>
      <c r="AL23" s="229">
        <v>2720.7660229244284</v>
      </c>
      <c r="AM23" s="197">
        <v>0.09053438571482732</v>
      </c>
    </row>
    <row r="24" spans="1:39" ht="15.75">
      <c r="A24" s="58">
        <v>2024</v>
      </c>
      <c r="B24" s="205">
        <v>69</v>
      </c>
      <c r="C24" s="174">
        <v>48581.73535753792</v>
      </c>
      <c r="D24" s="174">
        <v>56446.26286587347</v>
      </c>
      <c r="E24" s="174">
        <v>112892.52573174694</v>
      </c>
      <c r="F24" s="174">
        <v>170733.1052612522</v>
      </c>
      <c r="G24" s="174">
        <v>7287.260303630687</v>
      </c>
      <c r="H24" s="53">
        <v>14303.526807833183</v>
      </c>
      <c r="I24" s="53">
        <v>6456.876637958167</v>
      </c>
      <c r="J24" s="278">
        <v>0</v>
      </c>
      <c r="K24" s="278">
        <v>0</v>
      </c>
      <c r="L24" s="53">
        <v>0</v>
      </c>
      <c r="M24" s="278">
        <v>0</v>
      </c>
      <c r="N24" s="278">
        <v>3114.0605168687025</v>
      </c>
      <c r="O24" s="278">
        <v>831.5712717645475</v>
      </c>
      <c r="P24" s="53">
        <v>213.15566881171878</v>
      </c>
      <c r="Q24" s="53">
        <v>3327.2161856804214</v>
      </c>
      <c r="R24" s="319">
        <v>3960.044117950266</v>
      </c>
      <c r="S24" s="197">
        <v>0.08151302313114732</v>
      </c>
      <c r="T24" s="21"/>
      <c r="U24" s="298">
        <v>29590</v>
      </c>
      <c r="V24" s="174">
        <v>59180</v>
      </c>
      <c r="W24" s="174">
        <v>93000</v>
      </c>
      <c r="X24" s="174">
        <v>5440.225435951919</v>
      </c>
      <c r="Y24" s="53">
        <v>7731</v>
      </c>
      <c r="Z24" s="53">
        <v>430.3396963693126</v>
      </c>
      <c r="AA24" s="320">
        <v>0</v>
      </c>
      <c r="AB24" s="278">
        <v>0</v>
      </c>
      <c r="AC24" s="278">
        <v>0</v>
      </c>
      <c r="AD24" s="278">
        <v>717.3817593108625</v>
      </c>
      <c r="AE24" s="278">
        <v>831.5712717645475</v>
      </c>
      <c r="AF24" s="53">
        <v>128.10497255879582</v>
      </c>
      <c r="AG24" s="53">
        <v>845.4867318696583</v>
      </c>
      <c r="AH24" s="319">
        <v>4594.738704082261</v>
      </c>
      <c r="AI24" s="319">
        <v>0</v>
      </c>
      <c r="AJ24" s="321">
        <v>0.09457749234907362</v>
      </c>
      <c r="AL24" s="229">
        <v>8554.782822032528</v>
      </c>
      <c r="AM24" s="197">
        <v>0.17609051548022095</v>
      </c>
    </row>
    <row r="25" spans="1:39" ht="15.75">
      <c r="A25" s="58">
        <v>2025</v>
      </c>
      <c r="B25" s="205">
        <v>70</v>
      </c>
      <c r="C25" s="174">
        <v>31120.612261413382</v>
      </c>
      <c r="D25" s="174">
        <v>57688.08064892268</v>
      </c>
      <c r="E25" s="174">
        <v>115376.16129784536</v>
      </c>
      <c r="F25" s="174">
        <v>174489.23357699974</v>
      </c>
      <c r="G25" s="174">
        <v>4668.0918392120075</v>
      </c>
      <c r="H25" s="53">
        <v>14618.204397605514</v>
      </c>
      <c r="I25" s="53">
        <v>7473.415349008399</v>
      </c>
      <c r="J25" s="278">
        <v>0</v>
      </c>
      <c r="K25" s="278">
        <v>0</v>
      </c>
      <c r="L25" s="53">
        <v>0</v>
      </c>
      <c r="M25" s="278">
        <v>0</v>
      </c>
      <c r="N25" s="278">
        <v>3313.7429619920867</v>
      </c>
      <c r="O25" s="278">
        <v>873.149835352775</v>
      </c>
      <c r="P25" s="53">
        <v>225.21345225230473</v>
      </c>
      <c r="Q25" s="53">
        <v>3538.9564142443915</v>
      </c>
      <c r="R25" s="319">
        <v>1129.135424967616</v>
      </c>
      <c r="S25" s="197">
        <v>0.03628255817986066</v>
      </c>
      <c r="T25" s="21"/>
      <c r="U25" s="298">
        <v>29590</v>
      </c>
      <c r="V25" s="174">
        <v>59180</v>
      </c>
      <c r="W25" s="174">
        <v>93000</v>
      </c>
      <c r="X25" s="174">
        <v>2829.787533081301</v>
      </c>
      <c r="Y25" s="53">
        <v>7731</v>
      </c>
      <c r="Z25" s="53">
        <v>3049.508160787993</v>
      </c>
      <c r="AA25" s="320">
        <v>0</v>
      </c>
      <c r="AB25" s="278">
        <v>0</v>
      </c>
      <c r="AC25" s="278">
        <v>0</v>
      </c>
      <c r="AD25" s="278">
        <v>947.6066673332647</v>
      </c>
      <c r="AE25" s="278">
        <v>873.149835352775</v>
      </c>
      <c r="AF25" s="53">
        <v>135.38122118673562</v>
      </c>
      <c r="AG25" s="53">
        <v>1082.9878885200003</v>
      </c>
      <c r="AH25" s="319">
        <v>1746.7996445613005</v>
      </c>
      <c r="AI25" s="319">
        <v>0</v>
      </c>
      <c r="AJ25" s="321">
        <v>0.05612998966370488</v>
      </c>
      <c r="AL25" s="229">
        <v>2875.9350695289168</v>
      </c>
      <c r="AM25" s="197">
        <v>0.09241254784356555</v>
      </c>
    </row>
    <row r="26" spans="1:39" ht="15.75">
      <c r="A26" s="58">
        <v>2026</v>
      </c>
      <c r="B26" s="205">
        <v>71</v>
      </c>
      <c r="C26" s="174">
        <v>32169.09507346702</v>
      </c>
      <c r="D26" s="174">
        <v>58957.21842319898</v>
      </c>
      <c r="E26" s="174">
        <v>117914.43684639796</v>
      </c>
      <c r="F26" s="174">
        <v>178327.99671569373</v>
      </c>
      <c r="G26" s="174">
        <v>4825.364261020052</v>
      </c>
      <c r="H26" s="53">
        <v>14939.804894352836</v>
      </c>
      <c r="I26" s="53">
        <v>7637.830486686585</v>
      </c>
      <c r="J26" s="278">
        <v>0</v>
      </c>
      <c r="K26" s="278">
        <v>0</v>
      </c>
      <c r="L26" s="53">
        <v>0</v>
      </c>
      <c r="M26" s="278">
        <v>0</v>
      </c>
      <c r="N26" s="278">
        <v>3386.645307155913</v>
      </c>
      <c r="O26" s="278">
        <v>916.8073271204138</v>
      </c>
      <c r="P26" s="53">
        <v>237.87412486492</v>
      </c>
      <c r="Q26" s="53">
        <v>3624.519432020833</v>
      </c>
      <c r="R26" s="319">
        <v>1200.8448289992193</v>
      </c>
      <c r="S26" s="197">
        <v>0.0373291454502142</v>
      </c>
      <c r="T26" s="21"/>
      <c r="U26" s="298">
        <v>29590</v>
      </c>
      <c r="V26" s="174">
        <v>59180</v>
      </c>
      <c r="W26" s="174">
        <v>93000</v>
      </c>
      <c r="X26" s="174">
        <v>2986.5357134833193</v>
      </c>
      <c r="Y26" s="53">
        <v>7731</v>
      </c>
      <c r="Z26" s="53">
        <v>2892.235738979947</v>
      </c>
      <c r="AA26" s="320">
        <v>0</v>
      </c>
      <c r="AB26" s="278">
        <v>0</v>
      </c>
      <c r="AC26" s="278">
        <v>0</v>
      </c>
      <c r="AD26" s="278">
        <v>933.7824214563374</v>
      </c>
      <c r="AE26" s="278">
        <v>916.8073271204138</v>
      </c>
      <c r="AF26" s="53">
        <v>143.02128224607242</v>
      </c>
      <c r="AG26" s="53">
        <v>1076.8037037024098</v>
      </c>
      <c r="AH26" s="319">
        <v>1909.7320097809095</v>
      </c>
      <c r="AI26" s="319">
        <v>0</v>
      </c>
      <c r="AJ26" s="321">
        <v>0.059365425276014405</v>
      </c>
      <c r="AL26" s="229">
        <v>3110.576838780129</v>
      </c>
      <c r="AM26" s="197">
        <v>0.09669457072622861</v>
      </c>
    </row>
    <row r="27" spans="1:39" ht="15.75">
      <c r="A27" s="58">
        <v>2027</v>
      </c>
      <c r="B27" s="205">
        <v>72</v>
      </c>
      <c r="C27" s="174">
        <v>37391.934972868636</v>
      </c>
      <c r="D27" s="174">
        <v>60254.27722850936</v>
      </c>
      <c r="E27" s="174">
        <v>120508.55445701872</v>
      </c>
      <c r="F27" s="174">
        <v>182251.212643439</v>
      </c>
      <c r="G27" s="174">
        <v>5608.790245930295</v>
      </c>
      <c r="H27" s="53">
        <v>15268.480602028598</v>
      </c>
      <c r="I27" s="53">
        <v>7805.862757393688</v>
      </c>
      <c r="J27" s="278">
        <v>0</v>
      </c>
      <c r="K27" s="278">
        <v>0</v>
      </c>
      <c r="L27" s="53">
        <v>0</v>
      </c>
      <c r="M27" s="278">
        <v>0</v>
      </c>
      <c r="N27" s="278">
        <v>3461.1515039133433</v>
      </c>
      <c r="O27" s="278">
        <v>962.6476934764345</v>
      </c>
      <c r="P27" s="53">
        <v>251.16783110816598</v>
      </c>
      <c r="Q27" s="53">
        <v>3712.3193350215092</v>
      </c>
      <c r="R27" s="319">
        <v>1896.4709109087858</v>
      </c>
      <c r="S27" s="197">
        <v>0.05071871547393452</v>
      </c>
      <c r="T27" s="21"/>
      <c r="U27" s="298">
        <v>29590</v>
      </c>
      <c r="V27" s="174">
        <v>59180</v>
      </c>
      <c r="W27" s="174">
        <v>93000</v>
      </c>
      <c r="X27" s="174">
        <v>3767.3502784438615</v>
      </c>
      <c r="Y27" s="53">
        <v>7731</v>
      </c>
      <c r="Z27" s="53">
        <v>2108.8097540697045</v>
      </c>
      <c r="AA27" s="320">
        <v>0</v>
      </c>
      <c r="AB27" s="278">
        <v>0</v>
      </c>
      <c r="AC27" s="278">
        <v>0</v>
      </c>
      <c r="AD27" s="278">
        <v>864.9192773827272</v>
      </c>
      <c r="AE27" s="278">
        <v>962.6476934764345</v>
      </c>
      <c r="AF27" s="53">
        <v>151.04334635837603</v>
      </c>
      <c r="AG27" s="53">
        <v>1015.9626237411032</v>
      </c>
      <c r="AH27" s="319">
        <v>2751.3876547027585</v>
      </c>
      <c r="AI27" s="319">
        <v>0</v>
      </c>
      <c r="AJ27" s="321">
        <v>0.07358238231584295</v>
      </c>
      <c r="AL27" s="229">
        <v>4647.858565611545</v>
      </c>
      <c r="AM27" s="197">
        <v>0.12430109778977748</v>
      </c>
    </row>
    <row r="28" spans="1:39" ht="15.75">
      <c r="A28" s="58">
        <v>2028</v>
      </c>
      <c r="B28" s="205">
        <v>73</v>
      </c>
      <c r="C28" s="174">
        <v>37821.59846604516</v>
      </c>
      <c r="D28" s="174">
        <v>61579.871327536566</v>
      </c>
      <c r="E28" s="174">
        <v>123159.74265507313</v>
      </c>
      <c r="F28" s="174">
        <v>186260.73932159468</v>
      </c>
      <c r="G28" s="174">
        <v>5673.239769906773</v>
      </c>
      <c r="H28" s="53">
        <v>15604.387175273227</v>
      </c>
      <c r="I28" s="53">
        <v>7977.591738056351</v>
      </c>
      <c r="J28" s="278">
        <v>0</v>
      </c>
      <c r="K28" s="278">
        <v>0</v>
      </c>
      <c r="L28" s="53">
        <v>0</v>
      </c>
      <c r="M28" s="278">
        <v>0</v>
      </c>
      <c r="N28" s="278">
        <v>3537.2968369994364</v>
      </c>
      <c r="O28" s="278">
        <v>1010.7800781502563</v>
      </c>
      <c r="P28" s="53">
        <v>265.1262226635743</v>
      </c>
      <c r="Q28" s="53">
        <v>3802.423059663011</v>
      </c>
      <c r="R28" s="319">
        <v>1870.8167102437624</v>
      </c>
      <c r="S28" s="197">
        <v>0.04946424228799618</v>
      </c>
      <c r="T28" s="21"/>
      <c r="U28" s="298">
        <v>29590</v>
      </c>
      <c r="V28" s="174">
        <v>59180</v>
      </c>
      <c r="W28" s="174">
        <v>93000</v>
      </c>
      <c r="X28" s="174">
        <v>3831.5849706737513</v>
      </c>
      <c r="Y28" s="53">
        <v>7731</v>
      </c>
      <c r="Z28" s="53">
        <v>2044.3602300932264</v>
      </c>
      <c r="AA28" s="320">
        <v>0</v>
      </c>
      <c r="AB28" s="278">
        <v>0</v>
      </c>
      <c r="AC28" s="278">
        <v>0</v>
      </c>
      <c r="AD28" s="278">
        <v>859.2541642251947</v>
      </c>
      <c r="AE28" s="278">
        <v>1010.7800781502563</v>
      </c>
      <c r="AF28" s="53">
        <v>159.46651367629485</v>
      </c>
      <c r="AG28" s="53">
        <v>1018.7206779014896</v>
      </c>
      <c r="AH28" s="319">
        <v>2812.8642927722617</v>
      </c>
      <c r="AI28" s="319">
        <v>0</v>
      </c>
      <c r="AJ28" s="321">
        <v>0.07437190406686665</v>
      </c>
      <c r="AL28" s="229">
        <v>4683.681003016024</v>
      </c>
      <c r="AM28" s="197">
        <v>0.12383614635486284</v>
      </c>
    </row>
    <row r="29" spans="1:39" ht="15.75">
      <c r="A29" s="58">
        <v>2029</v>
      </c>
      <c r="B29" s="205">
        <v>74</v>
      </c>
      <c r="C29" s="174">
        <v>38264.945202325864</v>
      </c>
      <c r="D29" s="174">
        <v>62934.62849674237</v>
      </c>
      <c r="E29" s="174">
        <v>125869.25699348474</v>
      </c>
      <c r="F29" s="174">
        <v>190358.47558666975</v>
      </c>
      <c r="G29" s="174">
        <v>5739.74178034888</v>
      </c>
      <c r="H29" s="53">
        <v>15947.683693129238</v>
      </c>
      <c r="I29" s="53">
        <v>8153.098756293591</v>
      </c>
      <c r="J29" s="278">
        <v>0</v>
      </c>
      <c r="K29" s="278">
        <v>0</v>
      </c>
      <c r="L29" s="53">
        <v>0</v>
      </c>
      <c r="M29" s="278">
        <v>0</v>
      </c>
      <c r="N29" s="278">
        <v>3615.1173674134243</v>
      </c>
      <c r="O29" s="278">
        <v>1061.319082057769</v>
      </c>
      <c r="P29" s="53">
        <v>279.782533796753</v>
      </c>
      <c r="Q29" s="53">
        <v>3894.899901210177</v>
      </c>
      <c r="R29" s="319">
        <v>1844.8418791387026</v>
      </c>
      <c r="S29" s="197">
        <v>0.0482123225156629</v>
      </c>
      <c r="T29" s="21"/>
      <c r="U29" s="298">
        <v>29590</v>
      </c>
      <c r="V29" s="174">
        <v>59180</v>
      </c>
      <c r="W29" s="174">
        <v>93000</v>
      </c>
      <c r="X29" s="174">
        <v>3897.8653077477165</v>
      </c>
      <c r="Y29" s="53">
        <v>7731</v>
      </c>
      <c r="Z29" s="53">
        <v>1977.8582196511204</v>
      </c>
      <c r="AA29" s="320">
        <v>0</v>
      </c>
      <c r="AB29" s="278">
        <v>0</v>
      </c>
      <c r="AC29" s="278">
        <v>0</v>
      </c>
      <c r="AD29" s="278">
        <v>853.4086375073335</v>
      </c>
      <c r="AE29" s="278">
        <v>1061.319082057769</v>
      </c>
      <c r="AF29" s="53">
        <v>168.31083936010958</v>
      </c>
      <c r="AG29" s="53">
        <v>1021.7194768674431</v>
      </c>
      <c r="AH29" s="319">
        <v>2876.1458308802735</v>
      </c>
      <c r="AI29" s="319">
        <v>0</v>
      </c>
      <c r="AJ29" s="321">
        <v>0.07516398666384219</v>
      </c>
      <c r="AL29" s="229">
        <v>4720.987710018976</v>
      </c>
      <c r="AM29" s="197">
        <v>0.1233763091795051</v>
      </c>
    </row>
    <row r="30" spans="1:39" ht="15.75">
      <c r="A30" s="58">
        <v>2030</v>
      </c>
      <c r="B30" s="205">
        <v>75</v>
      </c>
      <c r="C30" s="174">
        <v>38727.37036111586</v>
      </c>
      <c r="D30" s="174">
        <v>64319.19032367071</v>
      </c>
      <c r="E30" s="174">
        <v>128638.38064734142</v>
      </c>
      <c r="F30" s="174">
        <v>194546.36204957648</v>
      </c>
      <c r="G30" s="174">
        <v>5809.1055541673795</v>
      </c>
      <c r="H30" s="53">
        <v>16298.532734378081</v>
      </c>
      <c r="I30" s="53">
        <v>8332.46692893205</v>
      </c>
      <c r="J30" s="278">
        <v>0</v>
      </c>
      <c r="K30" s="278">
        <v>0</v>
      </c>
      <c r="L30" s="53">
        <v>0</v>
      </c>
      <c r="M30" s="278">
        <v>0</v>
      </c>
      <c r="N30" s="278">
        <v>3694.6499494965196</v>
      </c>
      <c r="O30" s="278">
        <v>1114.3850361606576</v>
      </c>
      <c r="P30" s="53">
        <v>295.17166048659067</v>
      </c>
      <c r="Q30" s="53">
        <v>3989.82160998311</v>
      </c>
      <c r="R30" s="319">
        <v>1819.2839441842693</v>
      </c>
      <c r="S30" s="197">
        <v>0.04697669702900659</v>
      </c>
      <c r="T30" s="21"/>
      <c r="U30" s="298">
        <v>29590</v>
      </c>
      <c r="V30" s="174">
        <v>59180</v>
      </c>
      <c r="W30" s="174">
        <v>93000</v>
      </c>
      <c r="X30" s="174">
        <v>3966.9978689868217</v>
      </c>
      <c r="Y30" s="53">
        <v>7731</v>
      </c>
      <c r="Z30" s="53">
        <v>1908.4944458326206</v>
      </c>
      <c r="AA30" s="320">
        <v>0</v>
      </c>
      <c r="AB30" s="278">
        <v>0</v>
      </c>
      <c r="AC30" s="278">
        <v>0</v>
      </c>
      <c r="AD30" s="278">
        <v>847.3115617886874</v>
      </c>
      <c r="AE30" s="278">
        <v>1114.3850361606576</v>
      </c>
      <c r="AF30" s="53">
        <v>177.5973813281151</v>
      </c>
      <c r="AG30" s="53">
        <v>1024.9089431168024</v>
      </c>
      <c r="AH30" s="319">
        <v>2942.088925870019</v>
      </c>
      <c r="AI30" s="319">
        <v>0</v>
      </c>
      <c r="AJ30" s="321">
        <v>0.07596924083500431</v>
      </c>
      <c r="AL30" s="229">
        <v>4761.372870054289</v>
      </c>
      <c r="AM30" s="197">
        <v>0.12294593786401091</v>
      </c>
    </row>
    <row r="31" spans="1:39" ht="15.75">
      <c r="A31" s="58">
        <v>2031</v>
      </c>
      <c r="B31" s="205">
        <v>76</v>
      </c>
      <c r="C31" s="174">
        <v>39195.43721526192</v>
      </c>
      <c r="D31" s="174">
        <v>65734.21251079146</v>
      </c>
      <c r="E31" s="174">
        <v>131468.42502158292</v>
      </c>
      <c r="F31" s="174">
        <v>198826.38201466715</v>
      </c>
      <c r="G31" s="174">
        <v>5879.315582289288</v>
      </c>
      <c r="H31" s="53">
        <v>16657.1004545344</v>
      </c>
      <c r="I31" s="53">
        <v>8515.781201368554</v>
      </c>
      <c r="J31" s="278">
        <v>0</v>
      </c>
      <c r="K31" s="278">
        <v>0</v>
      </c>
      <c r="L31" s="53">
        <v>0</v>
      </c>
      <c r="M31" s="278">
        <v>0</v>
      </c>
      <c r="N31" s="278">
        <v>3775.932248385443</v>
      </c>
      <c r="O31" s="278">
        <v>1170.1042879686904</v>
      </c>
      <c r="P31" s="53">
        <v>311.3302435109202</v>
      </c>
      <c r="Q31" s="53">
        <v>4087.2624918963634</v>
      </c>
      <c r="R31" s="319">
        <v>1792.0530903929243</v>
      </c>
      <c r="S31" s="197">
        <v>0.045720961869896805</v>
      </c>
      <c r="T31" s="21"/>
      <c r="U31" s="298">
        <v>29590</v>
      </c>
      <c r="V31" s="174">
        <v>59180</v>
      </c>
      <c r="W31" s="174">
        <v>93000</v>
      </c>
      <c r="X31" s="174">
        <v>4036.973863681657</v>
      </c>
      <c r="Y31" s="53">
        <v>7731</v>
      </c>
      <c r="Z31" s="53">
        <v>1838.2844177107124</v>
      </c>
      <c r="AA31" s="320">
        <v>0</v>
      </c>
      <c r="AB31" s="278">
        <v>0</v>
      </c>
      <c r="AC31" s="278">
        <v>0</v>
      </c>
      <c r="AD31" s="278">
        <v>841.1401003167717</v>
      </c>
      <c r="AE31" s="278">
        <v>1170.1042879686904</v>
      </c>
      <c r="AF31" s="53">
        <v>187.34825039452082</v>
      </c>
      <c r="AG31" s="53">
        <v>1028.4883507112925</v>
      </c>
      <c r="AH31" s="319">
        <v>3008.4855129703647</v>
      </c>
      <c r="AI31" s="319">
        <v>0</v>
      </c>
      <c r="AJ31" s="321">
        <v>0.07675601362596667</v>
      </c>
      <c r="AL31" s="229">
        <v>4800.538603363289</v>
      </c>
      <c r="AM31" s="197">
        <v>0.12247697549586348</v>
      </c>
    </row>
    <row r="32" spans="1:39" ht="15.75">
      <c r="A32" s="58">
        <v>2032</v>
      </c>
      <c r="B32" s="205">
        <v>77</v>
      </c>
      <c r="C32" s="174">
        <v>39680.99975223016</v>
      </c>
      <c r="D32" s="174">
        <v>67180.36518602887</v>
      </c>
      <c r="E32" s="174">
        <v>134360.73037205773</v>
      </c>
      <c r="F32" s="174">
        <v>203200.56241898984</v>
      </c>
      <c r="G32" s="174">
        <v>5952.149962834524</v>
      </c>
      <c r="H32" s="53">
        <v>17023.556664534157</v>
      </c>
      <c r="I32" s="53">
        <v>8703.128387798663</v>
      </c>
      <c r="J32" s="278">
        <v>0</v>
      </c>
      <c r="K32" s="278">
        <v>0</v>
      </c>
      <c r="L32" s="53">
        <v>0</v>
      </c>
      <c r="M32" s="278">
        <v>0</v>
      </c>
      <c r="N32" s="278">
        <v>3859.0027578499225</v>
      </c>
      <c r="O32" s="278">
        <v>1228.609502367125</v>
      </c>
      <c r="P32" s="53">
        <v>328.29675568646627</v>
      </c>
      <c r="Q32" s="53">
        <v>4187.299513536389</v>
      </c>
      <c r="R32" s="319">
        <v>1764.8504492981347</v>
      </c>
      <c r="S32" s="197">
        <v>0.04447595726715394</v>
      </c>
      <c r="T32" s="21"/>
      <c r="U32" s="298">
        <v>29590</v>
      </c>
      <c r="V32" s="174">
        <v>59180</v>
      </c>
      <c r="W32" s="174">
        <v>93000</v>
      </c>
      <c r="X32" s="174">
        <v>4109.565462958409</v>
      </c>
      <c r="Y32" s="53">
        <v>7731</v>
      </c>
      <c r="Z32" s="53">
        <v>1765.4500371654767</v>
      </c>
      <c r="AA32" s="320">
        <v>0</v>
      </c>
      <c r="AB32" s="278">
        <v>0</v>
      </c>
      <c r="AC32" s="278">
        <v>0</v>
      </c>
      <c r="AD32" s="278">
        <v>834.7379582668453</v>
      </c>
      <c r="AE32" s="278">
        <v>1228.609502367125</v>
      </c>
      <c r="AF32" s="53">
        <v>197.5866629142469</v>
      </c>
      <c r="AG32" s="53">
        <v>1032.3246211810922</v>
      </c>
      <c r="AH32" s="319">
        <v>3077.2408417773167</v>
      </c>
      <c r="AI32" s="319">
        <v>0</v>
      </c>
      <c r="AJ32" s="321">
        <v>0.07754947861676215</v>
      </c>
      <c r="AL32" s="229">
        <v>4842.091291075451</v>
      </c>
      <c r="AM32" s="197">
        <v>0.1220254358839161</v>
      </c>
    </row>
    <row r="33" spans="1:39" ht="15.75">
      <c r="A33" s="58">
        <v>2033</v>
      </c>
      <c r="B33" s="205">
        <v>78</v>
      </c>
      <c r="C33" s="174">
        <v>40182.392063342595</v>
      </c>
      <c r="D33" s="174">
        <v>68658.33322012151</v>
      </c>
      <c r="E33" s="174">
        <v>137316.66644024302</v>
      </c>
      <c r="F33" s="174">
        <v>207670.97479220765</v>
      </c>
      <c r="G33" s="174">
        <v>6027.358809501389</v>
      </c>
      <c r="H33" s="53">
        <v>17398.074911153908</v>
      </c>
      <c r="I33" s="53">
        <v>8894.597212330233</v>
      </c>
      <c r="J33" s="278">
        <v>0</v>
      </c>
      <c r="K33" s="278">
        <v>0</v>
      </c>
      <c r="L33" s="53">
        <v>0</v>
      </c>
      <c r="M33" s="278">
        <v>0</v>
      </c>
      <c r="N33" s="278">
        <v>3943.9008185226207</v>
      </c>
      <c r="O33" s="278">
        <v>1290.0399774854814</v>
      </c>
      <c r="P33" s="53">
        <v>346.11159347078956</v>
      </c>
      <c r="Q33" s="53">
        <v>4290.01241199341</v>
      </c>
      <c r="R33" s="319">
        <v>1737.3463975079794</v>
      </c>
      <c r="S33" s="197">
        <v>0.043236510030793256</v>
      </c>
      <c r="T33" s="21"/>
      <c r="U33" s="298">
        <v>29590</v>
      </c>
      <c r="V33" s="174">
        <v>59180</v>
      </c>
      <c r="W33" s="174">
        <v>93000</v>
      </c>
      <c r="X33" s="174">
        <v>4184.523613469718</v>
      </c>
      <c r="Y33" s="53">
        <v>7731</v>
      </c>
      <c r="Z33" s="53">
        <v>1690.2411904986106</v>
      </c>
      <c r="AA33" s="320">
        <v>0</v>
      </c>
      <c r="AB33" s="278">
        <v>0</v>
      </c>
      <c r="AC33" s="278">
        <v>0</v>
      </c>
      <c r="AD33" s="278">
        <v>828.1271006448279</v>
      </c>
      <c r="AE33" s="278">
        <v>1290.0399774854814</v>
      </c>
      <c r="AF33" s="53">
        <v>208.33699605995923</v>
      </c>
      <c r="AG33" s="53">
        <v>1036.4640967047872</v>
      </c>
      <c r="AH33" s="319">
        <v>3148.059516764931</v>
      </c>
      <c r="AI33" s="319">
        <v>0</v>
      </c>
      <c r="AJ33" s="321">
        <v>0.07834425366718842</v>
      </c>
      <c r="AL33" s="229">
        <v>4885.40591427291</v>
      </c>
      <c r="AM33" s="197">
        <v>0.12158076369798167</v>
      </c>
    </row>
    <row r="34" spans="1:39" ht="15.75">
      <c r="A34" s="58">
        <v>2034</v>
      </c>
      <c r="B34" s="205">
        <v>79</v>
      </c>
      <c r="C34" s="174">
        <v>40698.100141801544</v>
      </c>
      <c r="D34" s="174">
        <v>70168.81655096418</v>
      </c>
      <c r="E34" s="174">
        <v>140337.63310192837</v>
      </c>
      <c r="F34" s="174">
        <v>212239.73623763619</v>
      </c>
      <c r="G34" s="174">
        <v>6104.715021270232</v>
      </c>
      <c r="H34" s="53">
        <v>17780.832559199294</v>
      </c>
      <c r="I34" s="53">
        <v>9090.278351001498</v>
      </c>
      <c r="J34" s="278">
        <v>0</v>
      </c>
      <c r="K34" s="278">
        <v>0</v>
      </c>
      <c r="L34" s="53">
        <v>0</v>
      </c>
      <c r="M34" s="278">
        <v>0</v>
      </c>
      <c r="N34" s="278">
        <v>4030.6666365301185</v>
      </c>
      <c r="O34" s="278">
        <v>1354.5419763597554</v>
      </c>
      <c r="P34" s="53">
        <v>364.81717314432905</v>
      </c>
      <c r="Q34" s="53">
        <v>4395.483809674448</v>
      </c>
      <c r="R34" s="319">
        <v>1709.2312115957839</v>
      </c>
      <c r="S34" s="197">
        <v>0.041997813304317136</v>
      </c>
      <c r="T34" s="21"/>
      <c r="U34" s="298">
        <v>29590</v>
      </c>
      <c r="V34" s="174">
        <v>59180</v>
      </c>
      <c r="W34" s="174">
        <v>93000</v>
      </c>
      <c r="X34" s="174">
        <v>4261.621971199331</v>
      </c>
      <c r="Y34" s="53">
        <v>7731</v>
      </c>
      <c r="Z34" s="53">
        <v>1612.8849787297686</v>
      </c>
      <c r="AA34" s="320">
        <v>0</v>
      </c>
      <c r="AB34" s="278">
        <v>0</v>
      </c>
      <c r="AC34" s="278">
        <v>0</v>
      </c>
      <c r="AD34" s="278">
        <v>821.3274896303468</v>
      </c>
      <c r="AE34" s="278">
        <v>1354.5419763597554</v>
      </c>
      <c r="AF34" s="53">
        <v>219.6248458629572</v>
      </c>
      <c r="AG34" s="53">
        <v>1040.952335493304</v>
      </c>
      <c r="AH34" s="319">
        <v>3220.669635706027</v>
      </c>
      <c r="AI34" s="319">
        <v>0</v>
      </c>
      <c r="AJ34" s="321">
        <v>0.07913562609764271</v>
      </c>
      <c r="AL34" s="229">
        <v>4929.900847301811</v>
      </c>
      <c r="AM34" s="197">
        <v>0.12113343940195985</v>
      </c>
    </row>
    <row r="35" spans="1:39" ht="15.75">
      <c r="A35" s="58">
        <v>2035</v>
      </c>
      <c r="B35" s="205">
        <v>80</v>
      </c>
      <c r="C35" s="174">
        <v>42726.76137458819</v>
      </c>
      <c r="D35" s="174">
        <v>71712.5305150854</v>
      </c>
      <c r="E35" s="174">
        <v>143425.0610301708</v>
      </c>
      <c r="F35" s="174">
        <v>216909.0104348642</v>
      </c>
      <c r="G35" s="174">
        <v>6409.014206188228</v>
      </c>
      <c r="H35" s="53">
        <v>18172.01087550168</v>
      </c>
      <c r="I35" s="53">
        <v>9290.264474723532</v>
      </c>
      <c r="J35" s="278">
        <v>0</v>
      </c>
      <c r="K35" s="278">
        <v>0</v>
      </c>
      <c r="L35" s="53">
        <v>0</v>
      </c>
      <c r="M35" s="278">
        <v>0</v>
      </c>
      <c r="N35" s="278">
        <v>4119.341302533781</v>
      </c>
      <c r="O35" s="278">
        <v>1422.2690751777432</v>
      </c>
      <c r="P35" s="53">
        <v>384.4580318015455</v>
      </c>
      <c r="Q35" s="53">
        <v>4503.799334335326</v>
      </c>
      <c r="R35" s="319">
        <v>1905.2148718529015</v>
      </c>
      <c r="S35" s="197">
        <v>0.04459066895217645</v>
      </c>
      <c r="T35" s="21"/>
      <c r="U35" s="298">
        <v>29590</v>
      </c>
      <c r="V35" s="174">
        <v>59180</v>
      </c>
      <c r="W35" s="174">
        <v>93000</v>
      </c>
      <c r="X35" s="174">
        <v>4564.906825500934</v>
      </c>
      <c r="Y35" s="53">
        <v>7731</v>
      </c>
      <c r="Z35" s="53">
        <v>1308.5857938117715</v>
      </c>
      <c r="AA35" s="320">
        <v>0</v>
      </c>
      <c r="AB35" s="278">
        <v>0</v>
      </c>
      <c r="AC35" s="278">
        <v>0</v>
      </c>
      <c r="AD35" s="278">
        <v>794.5795912760548</v>
      </c>
      <c r="AE35" s="278">
        <v>1422.2690751777432</v>
      </c>
      <c r="AF35" s="53">
        <v>231.47708815610505</v>
      </c>
      <c r="AG35" s="53">
        <v>1026.0566794321599</v>
      </c>
      <c r="AH35" s="319">
        <v>3538.8501460687744</v>
      </c>
      <c r="AI35" s="319">
        <v>0</v>
      </c>
      <c r="AJ35" s="321">
        <v>0.08282514359193888</v>
      </c>
      <c r="AL35" s="229">
        <v>5444.0650179216755</v>
      </c>
      <c r="AM35" s="197">
        <v>0.1274158125441153</v>
      </c>
    </row>
    <row r="36" spans="1:39" ht="15.75">
      <c r="A36" s="58">
        <v>2036</v>
      </c>
      <c r="B36" s="205">
        <v>81</v>
      </c>
      <c r="C36" s="174">
        <v>41632.31752039005</v>
      </c>
      <c r="D36" s="174">
        <v>73290.20618641727</v>
      </c>
      <c r="E36" s="174">
        <v>146580.41237283454</v>
      </c>
      <c r="F36" s="174">
        <v>221681.00866443123</v>
      </c>
      <c r="G36" s="174">
        <v>6244.847628058506</v>
      </c>
      <c r="H36" s="53">
        <v>18571.795114762717</v>
      </c>
      <c r="I36" s="53">
        <v>9494.65029316745</v>
      </c>
      <c r="J36" s="278">
        <v>0</v>
      </c>
      <c r="K36" s="278">
        <v>0</v>
      </c>
      <c r="L36" s="53">
        <v>0</v>
      </c>
      <c r="M36" s="278">
        <v>0</v>
      </c>
      <c r="N36" s="278">
        <v>4209.966811189524</v>
      </c>
      <c r="O36" s="278">
        <v>1493.3825289366305</v>
      </c>
      <c r="P36" s="53">
        <v>405.0809333916228</v>
      </c>
      <c r="Q36" s="53">
        <v>4615.0477445811475</v>
      </c>
      <c r="R36" s="319">
        <v>1629.799883477359</v>
      </c>
      <c r="S36" s="197">
        <v>0.039147469575267824</v>
      </c>
      <c r="T36" s="21"/>
      <c r="U36" s="298">
        <v>29590</v>
      </c>
      <c r="V36" s="174">
        <v>59180</v>
      </c>
      <c r="W36" s="174">
        <v>93000</v>
      </c>
      <c r="X36" s="174">
        <v>4401.287469298312</v>
      </c>
      <c r="Y36" s="53">
        <v>7731</v>
      </c>
      <c r="Z36" s="53">
        <v>1472.752371941493</v>
      </c>
      <c r="AA36" s="320">
        <v>0</v>
      </c>
      <c r="AB36" s="278">
        <v>0</v>
      </c>
      <c r="AC36" s="278">
        <v>0</v>
      </c>
      <c r="AD36" s="278">
        <v>809.0098334936573</v>
      </c>
      <c r="AE36" s="278">
        <v>1493.3825289366305</v>
      </c>
      <c r="AF36" s="53">
        <v>243.92194256391033</v>
      </c>
      <c r="AG36" s="53">
        <v>1052.9317760575677</v>
      </c>
      <c r="AH36" s="319">
        <v>3348.3556932407446</v>
      </c>
      <c r="AI36" s="319">
        <v>0</v>
      </c>
      <c r="AJ36" s="321">
        <v>0.08042683887585257</v>
      </c>
      <c r="AL36" s="229">
        <v>4978.1555767181035</v>
      </c>
      <c r="AM36" s="197">
        <v>0.1195743084511204</v>
      </c>
    </row>
    <row r="37" spans="1:39" ht="15.75">
      <c r="A37" s="58">
        <v>2037</v>
      </c>
      <c r="B37" s="205">
        <v>82</v>
      </c>
      <c r="C37" s="174">
        <v>42194.966501951625</v>
      </c>
      <c r="D37" s="174">
        <v>74902.59072251846</v>
      </c>
      <c r="E37" s="174">
        <v>149805.18144503693</v>
      </c>
      <c r="F37" s="174">
        <v>226557.9908550487</v>
      </c>
      <c r="G37" s="174">
        <v>6329.244975292743</v>
      </c>
      <c r="H37" s="53">
        <v>18980.374607287496</v>
      </c>
      <c r="I37" s="53">
        <v>9703.532599617134</v>
      </c>
      <c r="J37" s="278">
        <v>0</v>
      </c>
      <c r="K37" s="278">
        <v>0</v>
      </c>
      <c r="L37" s="53">
        <v>0</v>
      </c>
      <c r="M37" s="278">
        <v>0</v>
      </c>
      <c r="N37" s="278">
        <v>4302.586081035694</v>
      </c>
      <c r="O37" s="278">
        <v>1568.051655383462</v>
      </c>
      <c r="P37" s="53">
        <v>426.73498006120394</v>
      </c>
      <c r="Q37" s="53">
        <v>4729.321061096898</v>
      </c>
      <c r="R37" s="319">
        <v>1599.923914195845</v>
      </c>
      <c r="S37" s="197">
        <v>0.037917411644866325</v>
      </c>
      <c r="T37" s="21"/>
      <c r="U37" s="298">
        <v>29590</v>
      </c>
      <c r="V37" s="174">
        <v>59180</v>
      </c>
      <c r="W37" s="174">
        <v>93000</v>
      </c>
      <c r="X37" s="174">
        <v>4485.403492041768</v>
      </c>
      <c r="Y37" s="53">
        <v>7731</v>
      </c>
      <c r="Z37" s="53">
        <v>1388.3550247072562</v>
      </c>
      <c r="AA37" s="320">
        <v>0</v>
      </c>
      <c r="AB37" s="278">
        <v>0</v>
      </c>
      <c r="AC37" s="278">
        <v>0</v>
      </c>
      <c r="AD37" s="278">
        <v>801.5913066717678</v>
      </c>
      <c r="AE37" s="278">
        <v>1568.051655383462</v>
      </c>
      <c r="AF37" s="53">
        <v>256.98903969210585</v>
      </c>
      <c r="AG37" s="53">
        <v>1058.5803463638736</v>
      </c>
      <c r="AH37" s="319">
        <v>3426.8231456778944</v>
      </c>
      <c r="AI37" s="319">
        <v>0</v>
      </c>
      <c r="AJ37" s="321">
        <v>0.08121402692710741</v>
      </c>
      <c r="AL37" s="229">
        <v>5026.74705987374</v>
      </c>
      <c r="AM37" s="197">
        <v>0.11913143857197375</v>
      </c>
    </row>
    <row r="38" spans="1:39" ht="15.75">
      <c r="A38" s="58">
        <v>2038</v>
      </c>
      <c r="B38" s="205">
        <v>83</v>
      </c>
      <c r="C38" s="174">
        <v>42769.635230894055</v>
      </c>
      <c r="D38" s="174">
        <v>76550.44771841387</v>
      </c>
      <c r="E38" s="174">
        <v>153100.89543682773</v>
      </c>
      <c r="F38" s="174">
        <v>231542.26665385978</v>
      </c>
      <c r="G38" s="174">
        <v>6415.445284634108</v>
      </c>
      <c r="H38" s="53">
        <v>19397.94284864782</v>
      </c>
      <c r="I38" s="53">
        <v>9917.010316808712</v>
      </c>
      <c r="J38" s="278">
        <v>0</v>
      </c>
      <c r="K38" s="278">
        <v>0</v>
      </c>
      <c r="L38" s="53">
        <v>0</v>
      </c>
      <c r="M38" s="278">
        <v>0</v>
      </c>
      <c r="N38" s="278">
        <v>4397.2429748184795</v>
      </c>
      <c r="O38" s="278">
        <v>1646.4542381526353</v>
      </c>
      <c r="P38" s="53">
        <v>449.4717290642642</v>
      </c>
      <c r="Q38" s="53">
        <v>4846.714703882743</v>
      </c>
      <c r="R38" s="319">
        <v>1568.7305807513649</v>
      </c>
      <c r="S38" s="197">
        <v>0.03667860556402908</v>
      </c>
      <c r="T38" s="21"/>
      <c r="U38" s="298">
        <v>29590</v>
      </c>
      <c r="V38" s="174">
        <v>59180</v>
      </c>
      <c r="W38" s="174">
        <v>93000</v>
      </c>
      <c r="X38" s="174">
        <v>4571.316467018662</v>
      </c>
      <c r="Y38" s="53">
        <v>7731</v>
      </c>
      <c r="Z38" s="53">
        <v>1302.1547153658917</v>
      </c>
      <c r="AA38" s="320">
        <v>0</v>
      </c>
      <c r="AB38" s="278">
        <v>0</v>
      </c>
      <c r="AC38" s="278">
        <v>0</v>
      </c>
      <c r="AD38" s="278">
        <v>794.014299480662</v>
      </c>
      <c r="AE38" s="278">
        <v>1646.4542381526353</v>
      </c>
      <c r="AF38" s="53">
        <v>270.70949167671114</v>
      </c>
      <c r="AG38" s="53">
        <v>1064.7237911573732</v>
      </c>
      <c r="AH38" s="319">
        <v>3506.5926758612886</v>
      </c>
      <c r="AI38" s="319">
        <v>0</v>
      </c>
      <c r="AJ38" s="321">
        <v>0.08198790232675049</v>
      </c>
      <c r="AL38" s="229">
        <v>5075.3232566126535</v>
      </c>
      <c r="AM38" s="197">
        <v>0.11866650789077958</v>
      </c>
    </row>
    <row r="39" spans="1:39" ht="15.75">
      <c r="A39" s="58">
        <v>2039</v>
      </c>
      <c r="B39" s="205">
        <v>84</v>
      </c>
      <c r="C39" s="174">
        <v>43358.25035408346</v>
      </c>
      <c r="D39" s="174">
        <v>78234.55756821897</v>
      </c>
      <c r="E39" s="174">
        <v>156469.11513643793</v>
      </c>
      <c r="F39" s="174">
        <v>236636.19652024467</v>
      </c>
      <c r="G39" s="174">
        <v>6503.737553112519</v>
      </c>
      <c r="H39" s="53">
        <v>19824.697591318072</v>
      </c>
      <c r="I39" s="53">
        <v>10135.184543778501</v>
      </c>
      <c r="J39" s="278">
        <v>0</v>
      </c>
      <c r="K39" s="278">
        <v>0</v>
      </c>
      <c r="L39" s="53">
        <v>0</v>
      </c>
      <c r="M39" s="278">
        <v>0</v>
      </c>
      <c r="N39" s="278">
        <v>4493.982320264486</v>
      </c>
      <c r="O39" s="278">
        <v>1728.7769500602672</v>
      </c>
      <c r="P39" s="53">
        <v>473.34531551747745</v>
      </c>
      <c r="Q39" s="53">
        <v>4967.327635781963</v>
      </c>
      <c r="R39" s="319">
        <v>1536.4099173305558</v>
      </c>
      <c r="S39" s="197">
        <v>0.03543523792550493</v>
      </c>
      <c r="T39" s="21"/>
      <c r="U39" s="298">
        <v>29590</v>
      </c>
      <c r="V39" s="174">
        <v>59180</v>
      </c>
      <c r="W39" s="174">
        <v>93000</v>
      </c>
      <c r="X39" s="174">
        <v>4659.314427935477</v>
      </c>
      <c r="Y39" s="53">
        <v>7731</v>
      </c>
      <c r="Z39" s="53">
        <v>1213.8624468874814</v>
      </c>
      <c r="AA39" s="320">
        <v>0</v>
      </c>
      <c r="AB39" s="278">
        <v>0</v>
      </c>
      <c r="AC39" s="278">
        <v>0</v>
      </c>
      <c r="AD39" s="278">
        <v>786.2534090814096</v>
      </c>
      <c r="AE39" s="278">
        <v>1728.7769500602672</v>
      </c>
      <c r="AF39" s="53">
        <v>285.1159662605467</v>
      </c>
      <c r="AG39" s="53">
        <v>1071.3693753419564</v>
      </c>
      <c r="AH39" s="319">
        <v>3587.945052593521</v>
      </c>
      <c r="AI39" s="319">
        <v>0</v>
      </c>
      <c r="AJ39" s="321">
        <v>0.08275114939585218</v>
      </c>
      <c r="AL39" s="229">
        <v>5124.354969924077</v>
      </c>
      <c r="AM39" s="197">
        <v>0.11818638732135711</v>
      </c>
    </row>
    <row r="40" spans="1:39" ht="15.75">
      <c r="A40" s="58">
        <v>2040</v>
      </c>
      <c r="B40" s="205">
        <v>85</v>
      </c>
      <c r="C40" s="174">
        <v>43961.67283356446</v>
      </c>
      <c r="D40" s="174">
        <v>79955.71783471979</v>
      </c>
      <c r="E40" s="174">
        <v>159911.43566943958</v>
      </c>
      <c r="F40" s="174">
        <v>241842.19284369008</v>
      </c>
      <c r="G40" s="174">
        <v>6594.250925034668</v>
      </c>
      <c r="H40" s="53">
        <v>20260.84093832707</v>
      </c>
      <c r="I40" s="53">
        <v>10358.15860374163</v>
      </c>
      <c r="J40" s="278">
        <v>0</v>
      </c>
      <c r="K40" s="278">
        <v>0</v>
      </c>
      <c r="L40" s="53">
        <v>0</v>
      </c>
      <c r="M40" s="278">
        <v>0</v>
      </c>
      <c r="N40" s="278">
        <v>4592.849931310305</v>
      </c>
      <c r="O40" s="278">
        <v>1815.2157975632806</v>
      </c>
      <c r="P40" s="53">
        <v>498.41258129335137</v>
      </c>
      <c r="Q40" s="53">
        <v>5091.262512603656</v>
      </c>
      <c r="R40" s="319">
        <v>1502.988412431012</v>
      </c>
      <c r="S40" s="197">
        <v>0.03418860829343805</v>
      </c>
      <c r="T40" s="21"/>
      <c r="U40" s="298">
        <v>29590</v>
      </c>
      <c r="V40" s="174">
        <v>59180</v>
      </c>
      <c r="W40" s="174">
        <v>93000</v>
      </c>
      <c r="X40" s="174">
        <v>4749.526088617887</v>
      </c>
      <c r="Y40" s="53">
        <v>7731</v>
      </c>
      <c r="Z40" s="53">
        <v>1123.3490749653315</v>
      </c>
      <c r="AA40" s="320">
        <v>0</v>
      </c>
      <c r="AB40" s="278">
        <v>0</v>
      </c>
      <c r="AC40" s="278">
        <v>0</v>
      </c>
      <c r="AD40" s="278">
        <v>778.2972836894527</v>
      </c>
      <c r="AE40" s="278">
        <v>1815.2157975632806</v>
      </c>
      <c r="AF40" s="53">
        <v>300.24276457357405</v>
      </c>
      <c r="AG40" s="53">
        <v>1078.5400482630266</v>
      </c>
      <c r="AH40" s="319">
        <v>3670.98604035486</v>
      </c>
      <c r="AI40" s="319">
        <v>0</v>
      </c>
      <c r="AJ40" s="321">
        <v>0.0835042391187645</v>
      </c>
      <c r="AL40" s="229">
        <v>5173.974452785872</v>
      </c>
      <c r="AM40" s="197">
        <v>0.11769284741220255</v>
      </c>
    </row>
    <row r="41" spans="1:39" ht="15.75">
      <c r="A41" s="58">
        <v>2041</v>
      </c>
      <c r="B41" s="205">
        <v>86</v>
      </c>
      <c r="C41" s="174">
        <v>44579.7948503281</v>
      </c>
      <c r="D41" s="174">
        <v>81714.74362708362</v>
      </c>
      <c r="E41" s="174">
        <v>163429.48725416724</v>
      </c>
      <c r="F41" s="174">
        <v>247162.72108625126</v>
      </c>
      <c r="G41" s="174">
        <v>6686.969227549215</v>
      </c>
      <c r="H41" s="53">
        <v>20706.579438970264</v>
      </c>
      <c r="I41" s="53">
        <v>10586.038093023944</v>
      </c>
      <c r="J41" s="278">
        <v>0</v>
      </c>
      <c r="K41" s="278">
        <v>0</v>
      </c>
      <c r="L41" s="53">
        <v>0</v>
      </c>
      <c r="M41" s="278">
        <v>0</v>
      </c>
      <c r="N41" s="278">
        <v>4693.892629799131</v>
      </c>
      <c r="O41" s="278">
        <v>1905.9765874414447</v>
      </c>
      <c r="P41" s="53">
        <v>524.7332103580189</v>
      </c>
      <c r="Q41" s="53">
        <v>5218.62584015715</v>
      </c>
      <c r="R41" s="319">
        <v>1468.3433873920649</v>
      </c>
      <c r="S41" s="197">
        <v>0.03293741912276337</v>
      </c>
      <c r="T41" s="21"/>
      <c r="U41" s="298">
        <v>29590</v>
      </c>
      <c r="V41" s="174">
        <v>59180</v>
      </c>
      <c r="W41" s="174">
        <v>93000</v>
      </c>
      <c r="X41" s="174">
        <v>4841.935330124052</v>
      </c>
      <c r="Y41" s="53">
        <v>7731</v>
      </c>
      <c r="Z41" s="53">
        <v>1030.6307724507851</v>
      </c>
      <c r="AA41" s="320">
        <v>0</v>
      </c>
      <c r="AB41" s="278">
        <v>0</v>
      </c>
      <c r="AC41" s="278">
        <v>0</v>
      </c>
      <c r="AD41" s="278">
        <v>770.1473448984242</v>
      </c>
      <c r="AE41" s="278">
        <v>1905.9765874414447</v>
      </c>
      <c r="AF41" s="53">
        <v>316.12590280225277</v>
      </c>
      <c r="AG41" s="53">
        <v>1086.273247700677</v>
      </c>
      <c r="AH41" s="319">
        <v>3755.6620824233746</v>
      </c>
      <c r="AI41" s="319">
        <v>0</v>
      </c>
      <c r="AJ41" s="321">
        <v>0.084245835922588</v>
      </c>
      <c r="AL41" s="229">
        <v>5224.00546981544</v>
      </c>
      <c r="AM41" s="197">
        <v>0.11718325504535138</v>
      </c>
    </row>
    <row r="42" spans="1:50" ht="15.75">
      <c r="A42" s="58">
        <v>2042</v>
      </c>
      <c r="B42" s="205">
        <v>87</v>
      </c>
      <c r="C42" s="174">
        <v>45209.49261530891</v>
      </c>
      <c r="D42" s="174">
        <v>83512.46798687946</v>
      </c>
      <c r="E42" s="174">
        <v>167024.93597375893</v>
      </c>
      <c r="F42" s="174">
        <v>252600.3009501488</v>
      </c>
      <c r="G42" s="174">
        <v>6781.423892296337</v>
      </c>
      <c r="H42" s="53">
        <v>21162.12418662761</v>
      </c>
      <c r="I42" s="53">
        <v>10818.930931070472</v>
      </c>
      <c r="J42" s="278">
        <v>0</v>
      </c>
      <c r="K42" s="278">
        <v>0</v>
      </c>
      <c r="L42" s="53">
        <v>0</v>
      </c>
      <c r="M42" s="278">
        <v>0</v>
      </c>
      <c r="N42" s="278">
        <v>4797.158267654712</v>
      </c>
      <c r="O42" s="278">
        <v>2001.275416813517</v>
      </c>
      <c r="P42" s="53">
        <v>552.3698708759199</v>
      </c>
      <c r="Q42" s="53">
        <v>5349.5281385306325</v>
      </c>
      <c r="R42" s="319">
        <v>1431.8957537657043</v>
      </c>
      <c r="S42" s="197">
        <v>0.03167245794925894</v>
      </c>
      <c r="T42" s="21"/>
      <c r="U42" s="298">
        <v>29590</v>
      </c>
      <c r="V42" s="174">
        <v>59180</v>
      </c>
      <c r="W42" s="174">
        <v>93000</v>
      </c>
      <c r="X42" s="174">
        <v>4936.075145988682</v>
      </c>
      <c r="Y42" s="53">
        <v>7731</v>
      </c>
      <c r="Z42" s="53">
        <v>936.1761077036635</v>
      </c>
      <c r="AA42" s="320">
        <v>0</v>
      </c>
      <c r="AB42" s="278">
        <v>0</v>
      </c>
      <c r="AC42" s="278">
        <v>0</v>
      </c>
      <c r="AD42" s="278">
        <v>761.8447798671522</v>
      </c>
      <c r="AE42" s="278">
        <v>2001.275416813517</v>
      </c>
      <c r="AF42" s="53">
        <v>332.80319794236544</v>
      </c>
      <c r="AG42" s="53">
        <v>1094.6479778095177</v>
      </c>
      <c r="AH42" s="319">
        <v>3841.4271681791647</v>
      </c>
      <c r="AI42" s="319">
        <v>0</v>
      </c>
      <c r="AJ42" s="321">
        <v>0.08496948198171936</v>
      </c>
      <c r="AL42" s="229">
        <v>5273.322921944869</v>
      </c>
      <c r="AM42" s="197">
        <v>0.11664193993097831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39" ht="15.75">
      <c r="A43" s="58">
        <v>2043</v>
      </c>
      <c r="B43" s="205">
        <v>88</v>
      </c>
      <c r="C43" s="174">
        <v>45806.94518229253</v>
      </c>
      <c r="D43" s="174">
        <v>85349.7422825908</v>
      </c>
      <c r="E43" s="174">
        <v>170699.4845651816</v>
      </c>
      <c r="F43" s="174">
        <v>258157.50757105203</v>
      </c>
      <c r="G43" s="174">
        <v>6871.041777343879</v>
      </c>
      <c r="H43" s="53">
        <v>21627.690918733417</v>
      </c>
      <c r="I43" s="53">
        <v>11056.94741155402</v>
      </c>
      <c r="J43" s="278">
        <v>0</v>
      </c>
      <c r="K43" s="278">
        <v>0</v>
      </c>
      <c r="L43" s="53">
        <v>0</v>
      </c>
      <c r="M43" s="278">
        <v>0</v>
      </c>
      <c r="N43" s="278">
        <v>4902.695749543115</v>
      </c>
      <c r="O43" s="278">
        <v>2101.3391876541928</v>
      </c>
      <c r="P43" s="53">
        <v>581.3883644197159</v>
      </c>
      <c r="Q43" s="53">
        <v>5484.084113962831</v>
      </c>
      <c r="R43" s="319">
        <v>1386.9576633810484</v>
      </c>
      <c r="S43" s="197">
        <v>0.030278326962462472</v>
      </c>
      <c r="T43" s="21"/>
      <c r="U43" s="298">
        <v>29590</v>
      </c>
      <c r="V43" s="174">
        <v>59180</v>
      </c>
      <c r="W43" s="174">
        <v>93000</v>
      </c>
      <c r="X43" s="174">
        <v>5025.394304752734</v>
      </c>
      <c r="Y43" s="53">
        <v>7731</v>
      </c>
      <c r="Z43" s="53">
        <v>846.55822265612</v>
      </c>
      <c r="AA43" s="320">
        <v>0</v>
      </c>
      <c r="AB43" s="278">
        <v>0</v>
      </c>
      <c r="AC43" s="278">
        <v>0</v>
      </c>
      <c r="AD43" s="278">
        <v>753.967367771473</v>
      </c>
      <c r="AE43" s="278">
        <v>2101.3391876541928</v>
      </c>
      <c r="AF43" s="53">
        <v>350.3143578394837</v>
      </c>
      <c r="AG43" s="53">
        <v>1104.2817256109568</v>
      </c>
      <c r="AH43" s="319">
        <v>3921.112579141777</v>
      </c>
      <c r="AI43" s="319">
        <v>0</v>
      </c>
      <c r="AJ43" s="321">
        <v>0.08560083113024422</v>
      </c>
      <c r="AL43" s="229">
        <v>5308.0702425228255</v>
      </c>
      <c r="AM43" s="197">
        <v>0.11587915809270669</v>
      </c>
    </row>
    <row r="44" spans="1:39" ht="15.75">
      <c r="A44" s="58">
        <v>2044</v>
      </c>
      <c r="B44" s="205">
        <v>89</v>
      </c>
      <c r="C44" s="174">
        <v>46424.453570051</v>
      </c>
      <c r="D44" s="174">
        <v>87227.43661280781</v>
      </c>
      <c r="E44" s="174">
        <v>174454.87322561562</v>
      </c>
      <c r="F44" s="174">
        <v>263836.9727376152</v>
      </c>
      <c r="G44" s="174">
        <v>6963.6680355076505</v>
      </c>
      <c r="H44" s="53">
        <v>22103.50011894555</v>
      </c>
      <c r="I44" s="53">
        <v>11300.20025460821</v>
      </c>
      <c r="J44" s="278">
        <v>0</v>
      </c>
      <c r="K44" s="278">
        <v>0</v>
      </c>
      <c r="L44" s="53">
        <v>0</v>
      </c>
      <c r="M44" s="278">
        <v>0</v>
      </c>
      <c r="N44" s="278">
        <v>5010.555056033064</v>
      </c>
      <c r="O44" s="278">
        <v>2206.4061470369024</v>
      </c>
      <c r="P44" s="53">
        <v>611.8577826407017</v>
      </c>
      <c r="Q44" s="53">
        <v>5622.412838673766</v>
      </c>
      <c r="R44" s="319">
        <v>1341.2551968338848</v>
      </c>
      <c r="S44" s="197">
        <v>0.02889113589263968</v>
      </c>
      <c r="T44" s="21"/>
      <c r="U44" s="298">
        <v>29590</v>
      </c>
      <c r="V44" s="174">
        <v>59180</v>
      </c>
      <c r="W44" s="174">
        <v>93000</v>
      </c>
      <c r="X44" s="174">
        <v>5117.7118087226245</v>
      </c>
      <c r="Y44" s="53">
        <v>7731</v>
      </c>
      <c r="Z44" s="53">
        <v>753.9319644923498</v>
      </c>
      <c r="AA44" s="320">
        <v>0</v>
      </c>
      <c r="AB44" s="278">
        <v>0</v>
      </c>
      <c r="AC44" s="278">
        <v>0</v>
      </c>
      <c r="AD44" s="278">
        <v>745.8255196788775</v>
      </c>
      <c r="AE44" s="278">
        <v>2206.4061470369024</v>
      </c>
      <c r="AF44" s="53">
        <v>368.7010757314579</v>
      </c>
      <c r="AG44" s="53">
        <v>1114.5265954103354</v>
      </c>
      <c r="AH44" s="319">
        <v>4003.1852133122893</v>
      </c>
      <c r="AI44" s="319">
        <v>0</v>
      </c>
      <c r="AJ44" s="321">
        <v>0.08623009869726919</v>
      </c>
      <c r="AL44" s="229">
        <v>5344.440410146174</v>
      </c>
      <c r="AM44" s="197">
        <v>0.11512123458990887</v>
      </c>
    </row>
    <row r="45" spans="1:39" ht="15.75">
      <c r="A45" s="58">
        <v>2045</v>
      </c>
      <c r="B45" s="205">
        <v>90</v>
      </c>
      <c r="C45" s="174">
        <v>47062.6002658015</v>
      </c>
      <c r="D45" s="174">
        <v>89146.44021828957</v>
      </c>
      <c r="E45" s="174">
        <v>178292.88043657914</v>
      </c>
      <c r="F45" s="174">
        <v>269641.3861378427</v>
      </c>
      <c r="G45" s="174">
        <v>7059.390039870224</v>
      </c>
      <c r="H45" s="53">
        <v>22589.777121562354</v>
      </c>
      <c r="I45" s="53">
        <v>11548.804660209591</v>
      </c>
      <c r="J45" s="278">
        <v>0</v>
      </c>
      <c r="K45" s="278">
        <v>0</v>
      </c>
      <c r="L45" s="53">
        <v>0</v>
      </c>
      <c r="M45" s="278">
        <v>0</v>
      </c>
      <c r="N45" s="278">
        <v>5120.787267265791</v>
      </c>
      <c r="O45" s="278">
        <v>2316.7264543887477</v>
      </c>
      <c r="P45" s="53">
        <v>643.8506717727367</v>
      </c>
      <c r="Q45" s="53">
        <v>5764.637939038528</v>
      </c>
      <c r="R45" s="319">
        <v>1294.7521008316962</v>
      </c>
      <c r="S45" s="197">
        <v>0.02751127420752696</v>
      </c>
      <c r="T45" s="21"/>
      <c r="U45" s="298">
        <v>29590</v>
      </c>
      <c r="V45" s="174">
        <v>59180</v>
      </c>
      <c r="W45" s="174">
        <v>93000</v>
      </c>
      <c r="X45" s="174">
        <v>5213.114739737324</v>
      </c>
      <c r="Y45" s="53">
        <v>7731</v>
      </c>
      <c r="Z45" s="53">
        <v>658.2099601297755</v>
      </c>
      <c r="AA45" s="320">
        <v>0</v>
      </c>
      <c r="AB45" s="278">
        <v>0</v>
      </c>
      <c r="AC45" s="278">
        <v>0</v>
      </c>
      <c r="AD45" s="278">
        <v>737.4115554954074</v>
      </c>
      <c r="AE45" s="278">
        <v>2316.7264543887477</v>
      </c>
      <c r="AF45" s="53">
        <v>388.0071295180308</v>
      </c>
      <c r="AG45" s="53">
        <v>1125.418685013438</v>
      </c>
      <c r="AH45" s="319">
        <v>4087.696054723886</v>
      </c>
      <c r="AI45" s="319">
        <v>0</v>
      </c>
      <c r="AJ45" s="321">
        <v>0.08685657043251498</v>
      </c>
      <c r="AL45" s="229">
        <v>5382.448155555582</v>
      </c>
      <c r="AM45" s="197">
        <v>0.11436784464004193</v>
      </c>
    </row>
    <row r="46" spans="1:39" ht="16.5" thickBot="1">
      <c r="A46" s="11">
        <v>2046</v>
      </c>
      <c r="B46" s="240">
        <v>91</v>
      </c>
      <c r="C46" s="190">
        <v>47718.4616377295</v>
      </c>
      <c r="D46" s="190">
        <v>91107.66190309195</v>
      </c>
      <c r="E46" s="190">
        <v>182215.3238061839</v>
      </c>
      <c r="F46" s="190">
        <v>275573.4966328753</v>
      </c>
      <c r="G46" s="190">
        <v>7157.769245659425</v>
      </c>
      <c r="H46" s="56">
        <v>23086.752218236725</v>
      </c>
      <c r="I46" s="56">
        <v>11802.878362734204</v>
      </c>
      <c r="J46" s="280">
        <v>0</v>
      </c>
      <c r="K46" s="280">
        <v>0</v>
      </c>
      <c r="L46" s="56">
        <v>0</v>
      </c>
      <c r="M46" s="280">
        <v>0</v>
      </c>
      <c r="N46" s="280">
        <v>5233.444587145639</v>
      </c>
      <c r="O46" s="280">
        <v>2432.5627771081854</v>
      </c>
      <c r="P46" s="56">
        <v>677.4432053613738</v>
      </c>
      <c r="Q46" s="56">
        <v>5910.887792507013</v>
      </c>
      <c r="R46" s="323">
        <v>1246.8814531524122</v>
      </c>
      <c r="S46" s="199">
        <v>0.02612995914701789</v>
      </c>
      <c r="T46" s="55"/>
      <c r="U46" s="299">
        <v>29590</v>
      </c>
      <c r="V46" s="190">
        <v>59180</v>
      </c>
      <c r="W46" s="190">
        <v>93000</v>
      </c>
      <c r="X46" s="190">
        <v>5311.166014840561</v>
      </c>
      <c r="Y46" s="56">
        <v>7731</v>
      </c>
      <c r="Z46" s="56">
        <v>559.8307543405749</v>
      </c>
      <c r="AA46" s="324">
        <v>0</v>
      </c>
      <c r="AB46" s="280">
        <v>0</v>
      </c>
      <c r="AC46" s="280">
        <v>0</v>
      </c>
      <c r="AD46" s="280">
        <v>728.7640233065366</v>
      </c>
      <c r="AE46" s="280">
        <v>2432.5627771081854</v>
      </c>
      <c r="AF46" s="56">
        <v>408.2784859939324</v>
      </c>
      <c r="AG46" s="56">
        <v>1137.042509300469</v>
      </c>
      <c r="AH46" s="323">
        <v>4174.123505540092</v>
      </c>
      <c r="AI46" s="323">
        <v>0</v>
      </c>
      <c r="AJ46" s="325">
        <v>0.0874739746899079</v>
      </c>
      <c r="AK46" s="55"/>
      <c r="AL46" s="230">
        <v>5421.004958692504</v>
      </c>
      <c r="AM46" s="199">
        <v>0.1136039338369258</v>
      </c>
    </row>
    <row r="47" spans="3:38" ht="1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AJ47" s="117"/>
      <c r="AL47" s="15"/>
    </row>
    <row r="48" spans="3:38" ht="1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AJ48" s="117"/>
      <c r="AL48" s="15"/>
    </row>
    <row r="49" spans="3:38" ht="1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AJ49" s="117"/>
      <c r="AL49" s="15"/>
    </row>
    <row r="50" spans="3:38" ht="1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AJ50" s="117"/>
      <c r="AL50" s="15"/>
    </row>
    <row r="51" spans="3:38" ht="1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AJ51" s="117"/>
      <c r="AL51" s="15"/>
    </row>
    <row r="52" spans="3:38" ht="1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AJ52" s="117"/>
      <c r="AL52" s="15"/>
    </row>
    <row r="53" spans="3:38" ht="1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AJ53" s="117"/>
      <c r="AL53" s="15"/>
    </row>
    <row r="54" spans="3:38" ht="1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AJ54" s="117"/>
      <c r="AL54" s="15"/>
    </row>
    <row r="55" spans="3:38" ht="1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AJ55" s="117"/>
      <c r="AL55" s="15"/>
    </row>
    <row r="56" spans="3:38" ht="1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AJ56" s="117"/>
      <c r="AL56" s="15"/>
    </row>
    <row r="57" spans="3:38" ht="1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AJ57" s="117"/>
      <c r="AL57" s="15"/>
    </row>
    <row r="58" spans="3:38" ht="1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AJ58" s="117"/>
      <c r="AL58" s="15"/>
    </row>
    <row r="59" spans="3:38" ht="1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AJ59" s="117"/>
      <c r="AL59" s="15"/>
    </row>
    <row r="60" spans="3:38" ht="1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AJ60" s="117"/>
      <c r="AL60" s="15"/>
    </row>
    <row r="61" spans="3:38" ht="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AJ61" s="117"/>
      <c r="AL61" s="15"/>
    </row>
    <row r="62" spans="3:38" ht="1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AJ62" s="117"/>
      <c r="AL62" s="15"/>
    </row>
    <row r="63" spans="3:38" ht="1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AJ63" s="117"/>
      <c r="AL63" s="15"/>
    </row>
    <row r="64" spans="3:38" ht="1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AJ64" s="117"/>
      <c r="AL64" s="15"/>
    </row>
    <row r="65" spans="3:38" ht="1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AJ65" s="117"/>
      <c r="AL65" s="15"/>
    </row>
    <row r="66" spans="3:38" ht="1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AJ66" s="117"/>
      <c r="AL66" s="15"/>
    </row>
    <row r="67" spans="3:38" ht="1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AJ67" s="117"/>
      <c r="AL67" s="15"/>
    </row>
    <row r="68" spans="3:38" ht="1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AJ68" s="117"/>
      <c r="AL68" s="15"/>
    </row>
    <row r="69" spans="3:38" ht="1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AJ69" s="117"/>
      <c r="AL69" s="15"/>
    </row>
    <row r="70" spans="3:38" ht="1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AJ70" s="117"/>
      <c r="AL70" s="15"/>
    </row>
    <row r="71" spans="3:38" ht="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AJ71" s="117"/>
      <c r="AL71" s="15"/>
    </row>
    <row r="72" spans="3:38" ht="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AJ72" s="117"/>
      <c r="AL72" s="15"/>
    </row>
    <row r="73" spans="3:38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AJ73" s="117"/>
      <c r="AL73" s="15"/>
    </row>
    <row r="74" spans="3:38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AJ74" s="117"/>
      <c r="AL74" s="15"/>
    </row>
    <row r="75" spans="3:38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AJ75" s="117"/>
      <c r="AL75" s="15"/>
    </row>
    <row r="76" spans="3:38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AJ76" s="117"/>
      <c r="AL76" s="15"/>
    </row>
    <row r="77" spans="3:38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AJ77" s="117"/>
      <c r="AL77" s="15"/>
    </row>
    <row r="78" spans="3:38" ht="1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AJ78" s="117"/>
      <c r="AL78" s="15"/>
    </row>
    <row r="79" spans="3:38" ht="1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AJ79" s="117"/>
      <c r="AL79" s="15"/>
    </row>
    <row r="80" spans="3:38" ht="1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AJ80" s="117"/>
      <c r="AL80" s="15"/>
    </row>
    <row r="81" spans="3:38" ht="1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AJ81" s="117"/>
      <c r="AL81" s="15"/>
    </row>
    <row r="82" spans="3:38" ht="1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AJ82" s="117"/>
      <c r="AL82" s="15"/>
    </row>
    <row r="83" spans="3:38" ht="1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AJ83" s="117"/>
      <c r="AL83" s="15"/>
    </row>
    <row r="84" spans="3:38" ht="1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AJ84" s="117"/>
      <c r="AL84" s="15"/>
    </row>
    <row r="85" spans="3:38" ht="1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AJ85" s="117"/>
      <c r="AL85" s="15"/>
    </row>
    <row r="86" spans="3:38" ht="1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AJ86" s="117"/>
      <c r="AL86" s="15"/>
    </row>
    <row r="87" spans="3:38" ht="1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AJ87" s="117"/>
      <c r="AL87" s="15"/>
    </row>
    <row r="88" spans="3:38" ht="1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AJ88" s="117"/>
      <c r="AL88" s="15"/>
    </row>
    <row r="89" spans="3:38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AJ89" s="117"/>
      <c r="AL89" s="15"/>
    </row>
    <row r="90" spans="3:38" ht="1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AJ90" s="117"/>
      <c r="AL90" s="15"/>
    </row>
    <row r="91" spans="3:38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AJ91" s="117"/>
      <c r="AL91" s="15"/>
    </row>
    <row r="92" spans="3:38" ht="1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AJ92" s="117"/>
      <c r="AL92" s="15"/>
    </row>
    <row r="93" spans="3:38" ht="1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AJ93" s="117"/>
      <c r="AL93" s="15"/>
    </row>
    <row r="94" spans="3:38" ht="1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AJ94" s="117"/>
      <c r="AL94" s="15"/>
    </row>
    <row r="95" spans="3:38" ht="1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AJ95" s="117"/>
      <c r="AL95" s="15"/>
    </row>
    <row r="96" spans="3:38" ht="1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AJ96" s="117"/>
      <c r="AL96" s="15"/>
    </row>
    <row r="97" spans="3:38" ht="1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AJ97" s="117"/>
      <c r="AL97" s="15"/>
    </row>
    <row r="98" spans="3:38" ht="1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AJ98" s="117"/>
      <c r="AL98" s="15"/>
    </row>
    <row r="99" spans="3:38" ht="1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AJ99" s="117"/>
      <c r="AL99" s="15"/>
    </row>
    <row r="100" spans="3:38" ht="1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AJ100" s="117"/>
      <c r="AL100" s="15"/>
    </row>
    <row r="101" spans="3:38" ht="1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AJ101" s="117"/>
      <c r="AL101" s="15"/>
    </row>
    <row r="102" spans="3:38" ht="1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AJ102" s="117"/>
      <c r="AL102" s="15"/>
    </row>
    <row r="103" spans="3:38" ht="1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AJ103" s="117"/>
      <c r="AL103" s="15"/>
    </row>
    <row r="104" spans="3:38" ht="1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AJ104" s="117"/>
      <c r="AL104" s="15"/>
    </row>
    <row r="105" spans="3:38" ht="1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AJ105" s="117"/>
      <c r="AL105" s="15"/>
    </row>
    <row r="106" spans="3:38" ht="1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AJ106" s="117"/>
      <c r="AL106" s="15"/>
    </row>
    <row r="107" spans="3:38" ht="1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AJ107" s="117"/>
      <c r="AL107" s="15"/>
    </row>
    <row r="108" spans="3:38" ht="1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AJ108" s="117"/>
      <c r="AL108" s="15"/>
    </row>
    <row r="109" spans="3:38" ht="1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AJ109" s="117"/>
      <c r="AL109" s="15"/>
    </row>
    <row r="110" spans="3:38" ht="1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AJ110" s="117"/>
      <c r="AL110" s="15"/>
    </row>
    <row r="111" spans="3:38" ht="1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AJ111" s="117"/>
      <c r="AL111" s="15"/>
    </row>
    <row r="112" spans="3:38" ht="1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AJ112" s="117"/>
      <c r="AL112" s="15"/>
    </row>
    <row r="113" spans="3:38" ht="1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AJ113" s="117"/>
      <c r="AL113" s="15"/>
    </row>
    <row r="114" spans="3:38" ht="1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AJ114" s="117"/>
      <c r="AL114" s="15"/>
    </row>
    <row r="115" spans="3:38" ht="1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AJ115" s="117"/>
      <c r="AL115" s="15"/>
    </row>
    <row r="116" spans="3:38" ht="1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AJ116" s="117"/>
      <c r="AL116" s="15"/>
    </row>
    <row r="117" spans="3:38" ht="1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AJ117" s="117"/>
      <c r="AL117" s="15"/>
    </row>
    <row r="118" spans="3:38" ht="1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AJ118" s="117"/>
      <c r="AL118" s="15"/>
    </row>
    <row r="119" spans="3:38" ht="1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AJ119" s="117"/>
      <c r="AL119" s="15"/>
    </row>
    <row r="120" spans="3:38" ht="1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AJ120" s="117"/>
      <c r="AL120" s="15"/>
    </row>
    <row r="121" spans="3:38" ht="1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AJ121" s="117"/>
      <c r="AL121" s="15"/>
    </row>
    <row r="122" spans="3:38" ht="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AJ122" s="117"/>
      <c r="AL122" s="15"/>
    </row>
    <row r="123" spans="3:38" ht="1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AJ123" s="117"/>
      <c r="AL123" s="15"/>
    </row>
    <row r="124" spans="3:38" ht="1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AJ124" s="117"/>
      <c r="AL124" s="15"/>
    </row>
    <row r="125" spans="3:38" ht="1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AJ125" s="117"/>
      <c r="AL125" s="15"/>
    </row>
    <row r="126" spans="3:38" ht="1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AJ126" s="117"/>
      <c r="AL126" s="15"/>
    </row>
    <row r="127" spans="3:38" ht="1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AJ127" s="117"/>
      <c r="AL127" s="15"/>
    </row>
    <row r="128" spans="3:38" ht="1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AJ128" s="117"/>
      <c r="AL128" s="15"/>
    </row>
    <row r="129" spans="3:38" ht="1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AJ129" s="117"/>
      <c r="AL129" s="15"/>
    </row>
    <row r="130" spans="3:38" ht="1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AJ130" s="117"/>
      <c r="AL130" s="15"/>
    </row>
    <row r="131" spans="3:38" ht="1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AJ131" s="117"/>
      <c r="AL131" s="15"/>
    </row>
    <row r="132" spans="3:38" ht="1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AJ132" s="117"/>
      <c r="AL132" s="15"/>
    </row>
    <row r="133" spans="3:38" ht="1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AJ133" s="117"/>
      <c r="AL133" s="15"/>
    </row>
    <row r="134" spans="3:38" ht="1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AJ134" s="117"/>
      <c r="AL134" s="15"/>
    </row>
    <row r="135" spans="3:38" ht="1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AJ135" s="117"/>
      <c r="AL135" s="15"/>
    </row>
    <row r="136" spans="3:38" ht="1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AJ136" s="117"/>
      <c r="AL136" s="15"/>
    </row>
    <row r="137" spans="3:38" ht="1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AJ137" s="117"/>
      <c r="AL137" s="15"/>
    </row>
    <row r="138" spans="3:38" ht="1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AJ138" s="117"/>
      <c r="AL138" s="15"/>
    </row>
    <row r="139" spans="3:38" ht="1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AJ139" s="117"/>
      <c r="AL139" s="15"/>
    </row>
    <row r="140" spans="3:38" ht="1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AJ140" s="117"/>
      <c r="AL140" s="15"/>
    </row>
    <row r="141" spans="3:38" ht="1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AJ141" s="117"/>
      <c r="AL141" s="15"/>
    </row>
    <row r="142" spans="3:36" ht="1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AJ142" s="117"/>
    </row>
    <row r="143" spans="3:36" ht="1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AJ143" s="117"/>
    </row>
    <row r="144" spans="3:36" ht="1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AJ144" s="117"/>
    </row>
    <row r="145" spans="3:36" ht="1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AJ145" s="117"/>
    </row>
    <row r="146" spans="3:36" ht="1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AJ146" s="117"/>
    </row>
    <row r="147" spans="3:36" ht="1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AJ147" s="117"/>
    </row>
    <row r="148" spans="3:36" ht="1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AJ148" s="117"/>
    </row>
    <row r="149" spans="3:36" ht="1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AJ149" s="117"/>
    </row>
    <row r="150" spans="3:36" ht="1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AJ150" s="117"/>
    </row>
    <row r="151" spans="3:36" ht="1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AJ151" s="117"/>
    </row>
    <row r="152" spans="3:36" ht="1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AJ152" s="117"/>
    </row>
    <row r="153" spans="3:36" ht="1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AJ153" s="117"/>
    </row>
    <row r="154" spans="3:36" ht="1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AJ154" s="117"/>
    </row>
    <row r="155" spans="3:36" ht="1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AJ155" s="117"/>
    </row>
    <row r="156" spans="3:36" ht="1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AJ156" s="117"/>
    </row>
    <row r="157" spans="3:36" ht="1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AJ157" s="117"/>
    </row>
    <row r="158" spans="3:36" ht="1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AJ158" s="117"/>
    </row>
    <row r="159" spans="3:36" ht="1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AJ159" s="117"/>
    </row>
    <row r="160" spans="3:36" ht="1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AJ160" s="117"/>
    </row>
    <row r="161" spans="3:36" ht="1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AJ161" s="117"/>
    </row>
    <row r="162" spans="3:36" ht="1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AJ162" s="117"/>
    </row>
    <row r="163" spans="3:36" ht="1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AJ163" s="117"/>
    </row>
    <row r="164" spans="3:36" ht="1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AJ164" s="117"/>
    </row>
    <row r="165" spans="3:36" ht="1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AJ165" s="117"/>
    </row>
    <row r="166" spans="3:36" ht="1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AJ166" s="117"/>
    </row>
    <row r="167" spans="3:36" ht="1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AJ167" s="117"/>
    </row>
    <row r="168" spans="3:36" ht="1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AJ168" s="117"/>
    </row>
    <row r="169" spans="3:36" ht="1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AJ169" s="117"/>
    </row>
    <row r="170" spans="3:36" ht="1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AJ170" s="117"/>
    </row>
    <row r="171" spans="3:36" ht="1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AJ171" s="117"/>
    </row>
    <row r="172" spans="3:36" ht="1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AJ172" s="117"/>
    </row>
    <row r="173" spans="3:36" ht="1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AJ173" s="117"/>
    </row>
    <row r="174" spans="3:36" ht="1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AJ174" s="117"/>
    </row>
    <row r="175" spans="3:36" ht="1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AJ175" s="117"/>
    </row>
    <row r="176" spans="3:36" ht="1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AJ176" s="117"/>
    </row>
    <row r="177" spans="3:36" ht="1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AJ177" s="117"/>
    </row>
    <row r="178" spans="3:36" ht="1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AJ178" s="117"/>
    </row>
    <row r="179" spans="3:36" ht="1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AJ179" s="117"/>
    </row>
    <row r="180" spans="3:36" ht="1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AJ180" s="117"/>
    </row>
    <row r="181" spans="3:36" ht="1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AJ181" s="117"/>
    </row>
    <row r="182" spans="3:36" ht="1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AJ182" s="117"/>
    </row>
    <row r="183" spans="3:36" ht="1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AJ183" s="117"/>
    </row>
    <row r="184" spans="3:36" ht="1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AJ184" s="117"/>
    </row>
    <row r="185" spans="3:36" ht="1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AJ185" s="117"/>
    </row>
    <row r="186" spans="3:36" ht="1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AJ186" s="117"/>
    </row>
    <row r="187" spans="3:36" ht="1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AJ187" s="117"/>
    </row>
    <row r="188" spans="3:36" ht="1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AJ188" s="117"/>
    </row>
    <row r="189" spans="3:36" ht="1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AJ189" s="117"/>
    </row>
    <row r="190" spans="3:36" ht="1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AJ190" s="117"/>
    </row>
    <row r="191" spans="3:36" ht="1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AJ191" s="117"/>
    </row>
    <row r="192" spans="3:36" ht="1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AJ192" s="117"/>
    </row>
    <row r="193" spans="3:36" ht="1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AJ193" s="117"/>
    </row>
    <row r="194" spans="3:36" ht="1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AJ194" s="117"/>
    </row>
    <row r="195" spans="3:36" ht="1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AJ195" s="117"/>
    </row>
    <row r="196" spans="3:36" ht="1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AJ196" s="117"/>
    </row>
    <row r="197" spans="3:36" ht="1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AJ197" s="117"/>
    </row>
    <row r="198" spans="3:36" ht="1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AJ198" s="117"/>
    </row>
    <row r="199" spans="3:36" ht="1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AJ199" s="117"/>
    </row>
    <row r="200" spans="3:36" ht="1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AJ200" s="117"/>
    </row>
    <row r="201" spans="3:36" ht="1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AJ201" s="117"/>
    </row>
    <row r="202" spans="3:36" ht="1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AJ202" s="117"/>
    </row>
    <row r="203" spans="3:36" ht="1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AJ203" s="117"/>
    </row>
    <row r="204" spans="3:36" ht="1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AJ204" s="117"/>
    </row>
    <row r="205" spans="3:36" ht="1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AJ205" s="117"/>
    </row>
    <row r="206" spans="3:36" ht="1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AJ206" s="117"/>
    </row>
    <row r="207" spans="3:36" ht="1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AJ207" s="117"/>
    </row>
    <row r="208" spans="3:36" ht="1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AJ208" s="117"/>
    </row>
    <row r="209" spans="3:36" ht="1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AJ209" s="117"/>
    </row>
    <row r="210" spans="3:36" ht="1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AJ210" s="117"/>
    </row>
    <row r="211" spans="3:36" ht="1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AJ211" s="117"/>
    </row>
    <row r="212" spans="3:36" ht="1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AJ212" s="117"/>
    </row>
    <row r="213" spans="3:36" ht="1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AJ213" s="117"/>
    </row>
    <row r="214" spans="3:36" ht="1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AJ214" s="117"/>
    </row>
    <row r="215" spans="3:36" ht="1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AJ215" s="117"/>
    </row>
    <row r="216" spans="3:36" ht="1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AJ216" s="117"/>
    </row>
    <row r="217" spans="3:36" ht="1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AJ217" s="117"/>
    </row>
    <row r="218" spans="3:36" ht="1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AJ218" s="117"/>
    </row>
    <row r="219" spans="3:36" ht="1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AJ219" s="117"/>
    </row>
    <row r="220" spans="3:36" ht="1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AJ220" s="117"/>
    </row>
    <row r="221" spans="3:36" ht="1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AJ221" s="117"/>
    </row>
    <row r="222" spans="3:36" ht="1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AJ222" s="117"/>
    </row>
    <row r="223" spans="3:36" ht="1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AJ223" s="117"/>
    </row>
    <row r="224" spans="3:36" ht="1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AJ224" s="117"/>
    </row>
    <row r="225" spans="3:36" ht="1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AJ225" s="117"/>
    </row>
    <row r="226" spans="3:36" ht="1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AJ226" s="117"/>
    </row>
    <row r="227" spans="3:36" ht="1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AJ227" s="117"/>
    </row>
    <row r="228" spans="3:36" ht="1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AJ228" s="117"/>
    </row>
    <row r="229" spans="3:36" ht="1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AJ229" s="117"/>
    </row>
    <row r="230" spans="3:36" ht="1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AJ230" s="117"/>
    </row>
    <row r="231" spans="3:36" ht="1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AJ231" s="117"/>
    </row>
    <row r="232" spans="3:36" ht="1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AJ232" s="117"/>
    </row>
    <row r="233" spans="3:36" ht="1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AJ233" s="117"/>
    </row>
    <row r="234" spans="3:36" ht="1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AJ234" s="117"/>
    </row>
    <row r="235" spans="3:36" ht="1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AJ235" s="117"/>
    </row>
    <row r="236" spans="3:36" ht="1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AJ236" s="117"/>
    </row>
    <row r="237" spans="3:36" ht="1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AJ237" s="117"/>
    </row>
    <row r="238" spans="3:36" ht="1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AJ238" s="117"/>
    </row>
    <row r="239" spans="3:36" ht="1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AJ239" s="117"/>
    </row>
    <row r="240" spans="3:36" ht="1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AJ240" s="117"/>
    </row>
    <row r="241" spans="3:36" ht="1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AJ241" s="117"/>
    </row>
    <row r="242" spans="3:36" ht="1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AJ242" s="117"/>
    </row>
    <row r="243" spans="3:36" ht="1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AJ243" s="117"/>
    </row>
    <row r="244" spans="3:36" ht="1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AJ244" s="117"/>
    </row>
    <row r="245" spans="3:36" ht="1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AJ245" s="117"/>
    </row>
    <row r="246" spans="3:36" ht="1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AJ246" s="117"/>
    </row>
    <row r="247" spans="3:36" ht="1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AJ247" s="117"/>
    </row>
    <row r="248" spans="3:36" ht="1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AJ248" s="117"/>
    </row>
    <row r="249" spans="3:36" ht="1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AJ249" s="117"/>
    </row>
    <row r="250" spans="3:36" ht="1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AJ250" s="117"/>
    </row>
    <row r="251" spans="3:36" ht="1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AJ251" s="117"/>
    </row>
    <row r="252" spans="3:36" ht="1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AJ252" s="117"/>
    </row>
    <row r="253" spans="3:14" ht="1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3:14" ht="1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3:14" ht="1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3:14" ht="1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3:14" ht="1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3:14" ht="1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3:14" ht="1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3:14" ht="1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3:14" ht="1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3:14" ht="1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3:14" ht="1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3:14" ht="1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3:14" ht="1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3:14" ht="1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3:14" ht="1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3:14" ht="1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3:14" ht="1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3:14" ht="1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3:14" ht="1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3:14" ht="1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3:14" ht="1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3:14" ht="1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3:14" ht="1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3:14" ht="1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3:14" ht="1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3:14" ht="1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3:14" ht="1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3:14" ht="1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3:14" ht="1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3:14" ht="1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3:14" ht="1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3:14" ht="1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3:14" ht="1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3:14" ht="1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3:14" ht="1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3:14" ht="1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3:14" ht="1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3:14" ht="1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3:14" ht="1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3:14" ht="1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3:14" ht="1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3:14" ht="1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3:14" ht="1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3:14" ht="1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3:14" ht="1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3:14" ht="1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3:14" ht="1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3:14" ht="1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3:14" ht="1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3:14" ht="1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3:14" ht="1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3:14" ht="1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3:14" ht="1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3:14" ht="1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3:14" ht="1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3:14" ht="1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3:14" ht="1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3:14" ht="1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3:14" ht="1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3:14" ht="1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3:14" ht="1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3:14" ht="1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3:14" ht="1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3:14" ht="1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3:14" ht="1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3:14" ht="1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3:14" ht="1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3:14" ht="1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3:14" ht="1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3:14" ht="1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3:14" ht="1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3:14" ht="1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3:14" ht="1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3:14" ht="1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3:14" ht="1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3:14" ht="1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3:14" ht="1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3:14" ht="1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3:14" ht="1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3:14" ht="1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3:14" ht="1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3:14" ht="1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3:14" ht="1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3:14" ht="1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3:14" ht="1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3:14" ht="1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3:14" ht="1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3:14" ht="1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3:14" ht="1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3:14" ht="1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3:14" ht="1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3:14" ht="1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3:14" ht="1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3:14" ht="1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3:14" ht="1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3:14" ht="1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3:14" ht="1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3:14" ht="1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3:14" ht="1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3:14" ht="1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3:14" ht="1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3:14" ht="1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3:14" ht="1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3:14" ht="1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3:14" ht="1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3:14" ht="1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3:14" ht="1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3:14" ht="1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3:14" ht="1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3:14" ht="1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3:14" ht="1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3:14" ht="1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3:14" ht="1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3:14" ht="1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3:14" ht="1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3:14" ht="1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3:14" ht="1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3:14" ht="1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3:14" ht="1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3:14" ht="1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3:14" ht="1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3:14" ht="1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3:14" ht="1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3:14" ht="1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3:14" ht="1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3:14" ht="1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3:14" ht="1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3:14" ht="1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3:14" ht="1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3:14" ht="1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3:14" ht="1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3:14" ht="1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3:14" ht="1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3:14" ht="1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3:14" ht="1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3:14" ht="1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3:14" ht="1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3:14" ht="1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3:14" ht="1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3:14" ht="1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3:14" ht="1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3:14" ht="1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3:14" ht="1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3:14" ht="1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3:14" ht="1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3:14" ht="1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3:14" ht="1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3:14" ht="1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3:14" ht="1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3:14" ht="1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3:14" ht="1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3:14" ht="1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3:14" ht="1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3:14" ht="1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3:14" ht="1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3:14" ht="1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3:14" ht="1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3:14" ht="1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3:14" ht="1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3:14" ht="1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3:14" ht="1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3:14" ht="1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3:14" ht="1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3:14" ht="1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3:14" ht="1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3:14" ht="1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3:14" ht="1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3:14" ht="1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3:14" ht="1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3:14" ht="1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3:14" ht="1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3:14" ht="1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3:14" ht="1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3:14" ht="1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3:14" ht="1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3:14" ht="1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3:14" ht="1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3:14" ht="1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3:14" ht="1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3:14" ht="1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3:14" ht="1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3:14" ht="1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3:14" ht="1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3:14" ht="1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3:14" ht="1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3:14" ht="1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3:14" ht="1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3:14" ht="1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3:14" ht="1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3:14" ht="1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3:14" ht="1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3:14" ht="1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3:14" ht="1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3:14" ht="1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3:14" ht="1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3:14" ht="1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3:14" ht="1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3:14" ht="1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3:14" ht="1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3:14" ht="1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3:14" ht="1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3:14" ht="1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3:14" ht="1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3:14" ht="1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3:14" ht="1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3:14" ht="1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3:14" ht="1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3:14" ht="1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3:14" ht="1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3:14" ht="1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3:14" ht="1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3:14" ht="1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3:14" ht="1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3:14" ht="1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3:14" ht="1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3:14" ht="1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3:14" ht="1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3:14" ht="1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3:14" ht="1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3:14" ht="1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3:14" ht="1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3:14" ht="1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3:14" ht="1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3:14" ht="1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3:14" ht="1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3:14" ht="1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3:14" ht="1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3:14" ht="1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3:14" ht="1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3:14" ht="1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3:14" ht="1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3:14" ht="1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3:14" ht="1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3:14" ht="1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3:14" ht="1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3:14" ht="1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3:14" ht="1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3:14" ht="1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3:14" ht="1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3:14" ht="1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3:14" ht="1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3:14" ht="1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3:14" ht="1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3:14" ht="1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3:14" ht="1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3:14" ht="1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3:14" ht="1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3:14" ht="1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3:14" ht="1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3:14" ht="1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3:14" ht="1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3:14" ht="1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3:14" ht="1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3:14" ht="1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3:14" ht="1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3:14" ht="1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3:14" ht="1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3:14" ht="1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3:14" ht="1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3:14" ht="1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3:14" ht="1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3:14" ht="1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3:14" ht="1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3:14" ht="1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3:14" ht="1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3:14" ht="1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3:14" ht="1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3:14" ht="1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3:14" ht="1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3:14" ht="1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3:14" ht="1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3:14" ht="1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3:14" ht="1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3:14" ht="1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3:14" ht="1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3:14" ht="1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3:14" ht="1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3:14" ht="1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3:14" ht="1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3:14" ht="1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3:14" ht="1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3:14" ht="1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3:14" ht="1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3:14" ht="1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3:14" ht="1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3:14" ht="1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3:14" ht="1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3:14" ht="1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3:14" ht="1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3:14" ht="1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3:14" ht="1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3:14" ht="1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3:14" ht="1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3:14" ht="1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3:14" ht="1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3:14" ht="1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3:14" ht="1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3:14" ht="1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3:14" ht="1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3:14" ht="1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3:14" ht="1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3:14" ht="1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3:14" ht="1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3:14" ht="1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3:14" ht="1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3:14" ht="1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3:14" ht="1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3:14" ht="1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3:14" ht="1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3:14" ht="1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3:14" ht="1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</sheetData>
  <sheetProtection password="DF35" sheet="1" objects="1" scenarios="1"/>
  <printOptions gridLines="1" horizontalCentered="1" verticalCentered="1"/>
  <pageMargins left="0.75" right="0.75" top="1" bottom="1" header="0.5" footer="0.5"/>
  <pageSetup horizontalDpi="300" verticalDpi="300" orientation="landscape" scale="55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1">
      <pane xSplit="2" ySplit="4" topLeftCell="A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3" width="9.140625" style="1" customWidth="1"/>
    <col min="4" max="4" width="11.57421875" style="1" bestFit="1" customWidth="1"/>
    <col min="5" max="5" width="10.8515625" style="1" customWidth="1"/>
    <col min="6" max="6" width="15.28125" style="1" bestFit="1" customWidth="1"/>
    <col min="7" max="8" width="10.7109375" style="1" bestFit="1" customWidth="1"/>
    <col min="9" max="9" width="10.7109375" style="1" customWidth="1"/>
    <col min="10" max="10" width="10.7109375" style="1" bestFit="1" customWidth="1"/>
    <col min="11" max="11" width="15.28125" style="1" bestFit="1" customWidth="1"/>
    <col min="12" max="12" width="13.00390625" style="1" bestFit="1" customWidth="1"/>
    <col min="13" max="13" width="10.8515625" style="1" customWidth="1"/>
    <col min="14" max="14" width="11.421875" style="1" customWidth="1"/>
    <col min="15" max="15" width="11.8515625" style="1" customWidth="1"/>
    <col min="16" max="16" width="10.7109375" style="1" customWidth="1"/>
    <col min="17" max="17" width="12.140625" style="1" bestFit="1" customWidth="1"/>
    <col min="18" max="18" width="9.7109375" style="1" bestFit="1" customWidth="1"/>
    <col min="19" max="19" width="11.421875" style="1" customWidth="1"/>
    <col min="20" max="21" width="10.57421875" style="1" customWidth="1"/>
    <col min="22" max="22" width="12.421875" style="1" customWidth="1"/>
    <col min="23" max="23" width="10.28125" style="1" bestFit="1" customWidth="1"/>
    <col min="24" max="24" width="7.00390625" style="1" bestFit="1" customWidth="1"/>
    <col min="25" max="25" width="7.7109375" style="1" bestFit="1" customWidth="1"/>
    <col min="26" max="26" width="12.28125" style="1" bestFit="1" customWidth="1"/>
    <col min="27" max="27" width="14.7109375" style="1" bestFit="1" customWidth="1"/>
    <col min="28" max="28" width="16.7109375" style="1" bestFit="1" customWidth="1"/>
    <col min="29" max="29" width="11.140625" style="1" customWidth="1"/>
    <col min="30" max="30" width="12.140625" style="1" customWidth="1"/>
    <col min="31" max="31" width="12.57421875" style="1" bestFit="1" customWidth="1"/>
    <col min="32" max="35" width="10.421875" style="1" customWidth="1"/>
    <col min="36" max="36" width="11.140625" style="1" customWidth="1"/>
    <col min="37" max="37" width="10.28125" style="1" bestFit="1" customWidth="1"/>
    <col min="38" max="38" width="2.140625" style="1" customWidth="1"/>
    <col min="39" max="39" width="13.57421875" style="1" bestFit="1" customWidth="1"/>
    <col min="40" max="40" width="9.140625" style="1" customWidth="1"/>
    <col min="41" max="41" width="9.57421875" style="1" bestFit="1" customWidth="1"/>
    <col min="42" max="16384" width="9.140625" style="1" customWidth="1"/>
  </cols>
  <sheetData>
    <row r="1" spans="1:39" ht="16.5" thickBot="1">
      <c r="A1" s="421" t="s">
        <v>26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22"/>
    </row>
    <row r="2" spans="1:39" ht="15.75" thickBot="1">
      <c r="A2" s="631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30"/>
    </row>
    <row r="3" spans="1:39" s="5" customFormat="1" ht="15.75">
      <c r="A3" s="439"/>
      <c r="B3" s="537"/>
      <c r="C3" s="440" t="s">
        <v>320</v>
      </c>
      <c r="D3" s="593" t="s">
        <v>183</v>
      </c>
      <c r="E3" s="564"/>
      <c r="F3" s="594"/>
      <c r="G3" s="593" t="s">
        <v>28</v>
      </c>
      <c r="H3" s="564"/>
      <c r="I3" s="564"/>
      <c r="J3" s="594"/>
      <c r="K3" s="593" t="s">
        <v>169</v>
      </c>
      <c r="L3" s="564"/>
      <c r="M3" s="594"/>
      <c r="N3" s="564" t="s">
        <v>212</v>
      </c>
      <c r="O3" s="564"/>
      <c r="P3" s="564"/>
      <c r="Q3" s="439" t="s">
        <v>190</v>
      </c>
      <c r="R3" s="440" t="s">
        <v>191</v>
      </c>
      <c r="S3" s="439"/>
      <c r="T3" s="537"/>
      <c r="U3" s="537"/>
      <c r="V3" s="537"/>
      <c r="W3" s="440"/>
      <c r="X3" s="439" t="s">
        <v>177</v>
      </c>
      <c r="Y3" s="537"/>
      <c r="Z3" s="440"/>
      <c r="AA3" s="593" t="s">
        <v>216</v>
      </c>
      <c r="AB3" s="564"/>
      <c r="AC3" s="564"/>
      <c r="AD3" s="564"/>
      <c r="AE3" s="540" t="s">
        <v>184</v>
      </c>
      <c r="AF3" s="440" t="s">
        <v>180</v>
      </c>
      <c r="AG3" s="593" t="s">
        <v>137</v>
      </c>
      <c r="AH3" s="564"/>
      <c r="AI3" s="564"/>
      <c r="AJ3" s="564"/>
      <c r="AK3" s="564"/>
      <c r="AL3" s="537"/>
      <c r="AM3" s="540"/>
    </row>
    <row r="4" spans="1:39" s="5" customFormat="1" ht="16.5" thickBot="1">
      <c r="A4" s="523" t="s">
        <v>23</v>
      </c>
      <c r="B4" s="524"/>
      <c r="C4" s="525" t="s">
        <v>24</v>
      </c>
      <c r="D4" s="523" t="s">
        <v>167</v>
      </c>
      <c r="E4" s="524" t="s">
        <v>37</v>
      </c>
      <c r="F4" s="525" t="s">
        <v>211</v>
      </c>
      <c r="G4" s="523" t="s">
        <v>168</v>
      </c>
      <c r="H4" s="524" t="s">
        <v>169</v>
      </c>
      <c r="I4" s="524" t="s">
        <v>248</v>
      </c>
      <c r="J4" s="525" t="s">
        <v>175</v>
      </c>
      <c r="K4" s="441" t="s">
        <v>211</v>
      </c>
      <c r="L4" s="566" t="s">
        <v>219</v>
      </c>
      <c r="M4" s="442" t="s">
        <v>284</v>
      </c>
      <c r="N4" s="524" t="s">
        <v>172</v>
      </c>
      <c r="O4" s="524" t="s">
        <v>173</v>
      </c>
      <c r="P4" s="524" t="s">
        <v>174</v>
      </c>
      <c r="Q4" s="523" t="s">
        <v>188</v>
      </c>
      <c r="R4" s="525" t="s">
        <v>277</v>
      </c>
      <c r="S4" s="523" t="s">
        <v>170</v>
      </c>
      <c r="T4" s="524" t="s">
        <v>171</v>
      </c>
      <c r="U4" s="524" t="s">
        <v>350</v>
      </c>
      <c r="V4" s="524" t="s">
        <v>187</v>
      </c>
      <c r="W4" s="525" t="s">
        <v>220</v>
      </c>
      <c r="X4" s="523" t="s">
        <v>178</v>
      </c>
      <c r="Y4" s="524" t="s">
        <v>215</v>
      </c>
      <c r="Z4" s="525" t="s">
        <v>25</v>
      </c>
      <c r="AA4" s="523" t="s">
        <v>186</v>
      </c>
      <c r="AB4" s="524" t="s">
        <v>217</v>
      </c>
      <c r="AC4" s="524" t="s">
        <v>182</v>
      </c>
      <c r="AD4" s="524" t="s">
        <v>179</v>
      </c>
      <c r="AE4" s="541" t="s">
        <v>288</v>
      </c>
      <c r="AF4" s="525" t="s">
        <v>181</v>
      </c>
      <c r="AG4" s="523" t="s">
        <v>27</v>
      </c>
      <c r="AH4" s="524" t="s">
        <v>139</v>
      </c>
      <c r="AI4" s="524" t="s">
        <v>31</v>
      </c>
      <c r="AJ4" s="524" t="s">
        <v>37</v>
      </c>
      <c r="AK4" s="524" t="s">
        <v>176</v>
      </c>
      <c r="AL4" s="524"/>
      <c r="AM4" s="541" t="s">
        <v>2</v>
      </c>
    </row>
    <row r="5" spans="1:39" ht="15">
      <c r="A5" s="20" t="s">
        <v>243</v>
      </c>
      <c r="B5" s="21"/>
      <c r="C5" s="99"/>
      <c r="D5" s="20"/>
      <c r="E5" s="21"/>
      <c r="F5" s="99"/>
      <c r="G5" s="18"/>
      <c r="H5" s="193"/>
      <c r="I5" s="193"/>
      <c r="J5" s="59"/>
      <c r="K5" s="241">
        <v>1</v>
      </c>
      <c r="L5" s="203">
        <v>0.95</v>
      </c>
      <c r="M5" s="59"/>
      <c r="N5" s="21"/>
      <c r="O5" s="21"/>
      <c r="P5" s="21"/>
      <c r="Q5" s="20"/>
      <c r="R5" s="99"/>
      <c r="S5" s="585">
        <v>0.975</v>
      </c>
      <c r="T5" s="203">
        <v>0.95</v>
      </c>
      <c r="U5" s="203">
        <v>0.95</v>
      </c>
      <c r="V5" s="203">
        <v>0.95</v>
      </c>
      <c r="W5" s="99"/>
      <c r="X5" s="20"/>
      <c r="Y5" s="21"/>
      <c r="Z5" s="99"/>
      <c r="AA5" s="241">
        <v>0.95</v>
      </c>
      <c r="AB5" s="215">
        <v>0.9</v>
      </c>
      <c r="AC5" s="21"/>
      <c r="AD5" s="203">
        <v>0.9</v>
      </c>
      <c r="AE5" s="36"/>
      <c r="AF5" s="529"/>
      <c r="AG5" s="527"/>
      <c r="AH5" s="304"/>
      <c r="AI5" s="304"/>
      <c r="AJ5" s="304"/>
      <c r="AK5" s="53">
        <v>20000</v>
      </c>
      <c r="AL5" s="21"/>
      <c r="AM5" s="36"/>
    </row>
    <row r="6" spans="1:39" ht="15.75" thickBot="1">
      <c r="A6" s="20" t="s">
        <v>242</v>
      </c>
      <c r="B6" s="21"/>
      <c r="C6" s="99"/>
      <c r="D6" s="20"/>
      <c r="E6" s="21"/>
      <c r="F6" s="99"/>
      <c r="G6" s="58"/>
      <c r="H6" s="53"/>
      <c r="I6" s="53"/>
      <c r="J6" s="99"/>
      <c r="K6" s="58">
        <v>65</v>
      </c>
      <c r="L6" s="31">
        <v>65</v>
      </c>
      <c r="M6" s="99"/>
      <c r="N6" s="21"/>
      <c r="O6" s="21"/>
      <c r="P6" s="21"/>
      <c r="Q6" s="20"/>
      <c r="R6" s="99"/>
      <c r="S6" s="31">
        <v>70</v>
      </c>
      <c r="T6" s="31">
        <v>70</v>
      </c>
      <c r="U6" s="31">
        <v>75</v>
      </c>
      <c r="V6" s="31">
        <v>70</v>
      </c>
      <c r="W6" s="99"/>
      <c r="X6" s="20"/>
      <c r="Y6" s="21"/>
      <c r="Z6" s="205">
        <v>1</v>
      </c>
      <c r="AA6" s="58">
        <v>70</v>
      </c>
      <c r="AB6" s="31">
        <v>70</v>
      </c>
      <c r="AC6" s="21"/>
      <c r="AD6" s="31">
        <v>72</v>
      </c>
      <c r="AE6" s="36"/>
      <c r="AF6" s="99"/>
      <c r="AG6" s="528">
        <v>0.0495</v>
      </c>
      <c r="AH6" s="281">
        <v>0.0173</v>
      </c>
      <c r="AI6" s="281">
        <v>0.03</v>
      </c>
      <c r="AJ6" s="21"/>
      <c r="AK6" s="46">
        <v>0.18</v>
      </c>
      <c r="AL6" s="21"/>
      <c r="AM6" s="533" t="s">
        <v>1</v>
      </c>
    </row>
    <row r="7" spans="1:39" ht="15.75" thickBot="1">
      <c r="A7" s="104" t="s">
        <v>185</v>
      </c>
      <c r="B7" s="106"/>
      <c r="C7" s="129"/>
      <c r="D7" s="305">
        <v>0</v>
      </c>
      <c r="E7" s="444">
        <v>0.0225</v>
      </c>
      <c r="F7" s="445">
        <v>0.0225</v>
      </c>
      <c r="G7" s="446">
        <v>0.0225</v>
      </c>
      <c r="H7" s="444">
        <v>0.0225</v>
      </c>
      <c r="I7" s="306">
        <v>0.04</v>
      </c>
      <c r="J7" s="307">
        <v>0</v>
      </c>
      <c r="K7" s="308">
        <v>0.05</v>
      </c>
      <c r="L7" s="444">
        <v>0.0225</v>
      </c>
      <c r="M7" s="445"/>
      <c r="N7" s="444">
        <v>0.0225</v>
      </c>
      <c r="O7" s="444">
        <v>0.0225</v>
      </c>
      <c r="P7" s="444">
        <v>0.0225</v>
      </c>
      <c r="Q7" s="446">
        <v>0.0225</v>
      </c>
      <c r="R7" s="445">
        <v>0.0225</v>
      </c>
      <c r="S7" s="446">
        <v>0.0225</v>
      </c>
      <c r="T7" s="444">
        <v>0.0225</v>
      </c>
      <c r="U7" s="444">
        <v>0.0225</v>
      </c>
      <c r="V7" s="444">
        <v>0.0225</v>
      </c>
      <c r="W7" s="445">
        <v>0.0225</v>
      </c>
      <c r="X7" s="305">
        <v>0</v>
      </c>
      <c r="Y7" s="309"/>
      <c r="Z7" s="307">
        <v>0.06</v>
      </c>
      <c r="AA7" s="446">
        <v>0.0225</v>
      </c>
      <c r="AB7" s="444">
        <v>0.0225</v>
      </c>
      <c r="AC7" s="444">
        <v>0.0225</v>
      </c>
      <c r="AD7" s="306">
        <v>0.04</v>
      </c>
      <c r="AE7" s="392">
        <v>0.05</v>
      </c>
      <c r="AF7" s="445">
        <v>0.0225</v>
      </c>
      <c r="AG7" s="308"/>
      <c r="AH7" s="306"/>
      <c r="AI7" s="306"/>
      <c r="AJ7" s="306"/>
      <c r="AK7" s="309">
        <v>0</v>
      </c>
      <c r="AL7" s="309"/>
      <c r="AM7" s="534" t="s">
        <v>1</v>
      </c>
    </row>
    <row r="8" spans="1:39" ht="15">
      <c r="A8" s="20"/>
      <c r="B8" s="21"/>
      <c r="C8" s="99"/>
      <c r="D8" s="20"/>
      <c r="E8" s="21"/>
      <c r="F8" s="99"/>
      <c r="G8" s="20"/>
      <c r="H8" s="21"/>
      <c r="I8" s="21"/>
      <c r="J8" s="99"/>
      <c r="K8" s="20"/>
      <c r="L8" s="21"/>
      <c r="M8" s="99"/>
      <c r="N8" s="21"/>
      <c r="O8" s="21"/>
      <c r="P8" s="21"/>
      <c r="Q8" s="20"/>
      <c r="R8" s="99"/>
      <c r="S8" s="20"/>
      <c r="T8" s="21"/>
      <c r="U8" s="21"/>
      <c r="V8" s="21"/>
      <c r="W8" s="99"/>
      <c r="X8" s="20"/>
      <c r="Y8" s="21"/>
      <c r="Z8" s="99"/>
      <c r="AA8" s="20"/>
      <c r="AB8" s="21"/>
      <c r="AC8" s="21"/>
      <c r="AD8" s="21"/>
      <c r="AE8" s="36"/>
      <c r="AF8" s="99"/>
      <c r="AG8" s="20"/>
      <c r="AH8" s="21"/>
      <c r="AI8" s="21"/>
      <c r="AJ8" s="21"/>
      <c r="AK8" s="21"/>
      <c r="AL8" s="21"/>
      <c r="AM8" s="36"/>
    </row>
    <row r="9" spans="1:42" ht="15">
      <c r="A9" s="20">
        <v>2009</v>
      </c>
      <c r="B9" s="21"/>
      <c r="C9" s="530">
        <v>54</v>
      </c>
      <c r="D9" s="298">
        <v>7513.44</v>
      </c>
      <c r="E9" s="53">
        <v>2100</v>
      </c>
      <c r="F9" s="54">
        <v>1575</v>
      </c>
      <c r="G9" s="172">
        <v>825</v>
      </c>
      <c r="H9" s="53">
        <v>800</v>
      </c>
      <c r="I9" s="53">
        <v>500</v>
      </c>
      <c r="J9" s="54">
        <v>0</v>
      </c>
      <c r="K9" s="172">
        <v>1500</v>
      </c>
      <c r="L9" s="53">
        <v>1800</v>
      </c>
      <c r="M9" s="54"/>
      <c r="N9" s="53">
        <v>2075</v>
      </c>
      <c r="O9" s="53">
        <v>1250</v>
      </c>
      <c r="P9" s="53">
        <v>650</v>
      </c>
      <c r="Q9" s="172">
        <v>1625</v>
      </c>
      <c r="R9" s="54">
        <v>800</v>
      </c>
      <c r="S9" s="172">
        <v>8150</v>
      </c>
      <c r="T9" s="53">
        <v>1500</v>
      </c>
      <c r="U9" s="53">
        <v>1000</v>
      </c>
      <c r="V9" s="53">
        <v>4800</v>
      </c>
      <c r="W9" s="54">
        <v>0</v>
      </c>
      <c r="X9" s="172">
        <v>0</v>
      </c>
      <c r="Y9" s="53">
        <v>0</v>
      </c>
      <c r="Z9" s="54">
        <v>0</v>
      </c>
      <c r="AA9" s="172">
        <v>1250</v>
      </c>
      <c r="AB9" s="53">
        <v>950</v>
      </c>
      <c r="AC9" s="53">
        <v>0</v>
      </c>
      <c r="AD9" s="53">
        <v>4300</v>
      </c>
      <c r="AE9" s="275">
        <v>400</v>
      </c>
      <c r="AF9" s="54">
        <v>0</v>
      </c>
      <c r="AG9" s="172">
        <v>2405.7</v>
      </c>
      <c r="AH9" s="53">
        <v>896.14</v>
      </c>
      <c r="AI9" s="53">
        <v>1470</v>
      </c>
      <c r="AJ9" s="53">
        <v>10526.812198348782</v>
      </c>
      <c r="AK9" s="174">
        <v>1926</v>
      </c>
      <c r="AL9" s="53"/>
      <c r="AM9" s="275">
        <v>62588.09219834878</v>
      </c>
      <c r="AN9" s="4"/>
      <c r="AO9" s="4"/>
      <c r="AP9" s="4"/>
    </row>
    <row r="10" spans="1:42" ht="15">
      <c r="A10" s="20">
        <v>2010</v>
      </c>
      <c r="B10" s="21"/>
      <c r="C10" s="530">
        <v>55</v>
      </c>
      <c r="D10" s="298">
        <v>7513.44</v>
      </c>
      <c r="E10" s="53">
        <v>2147.25</v>
      </c>
      <c r="F10" s="54">
        <v>1610.4375</v>
      </c>
      <c r="G10" s="172">
        <v>843.5625</v>
      </c>
      <c r="H10" s="53">
        <v>818</v>
      </c>
      <c r="I10" s="53">
        <v>520</v>
      </c>
      <c r="J10" s="54">
        <v>0</v>
      </c>
      <c r="K10" s="172">
        <v>1575</v>
      </c>
      <c r="L10" s="53">
        <v>1840.5</v>
      </c>
      <c r="M10" s="54"/>
      <c r="N10" s="53">
        <v>2121.6875</v>
      </c>
      <c r="O10" s="53">
        <v>1278.125</v>
      </c>
      <c r="P10" s="53">
        <v>664.625</v>
      </c>
      <c r="Q10" s="172">
        <v>1661.5625</v>
      </c>
      <c r="R10" s="54">
        <v>818</v>
      </c>
      <c r="S10" s="53">
        <v>8333.375</v>
      </c>
      <c r="T10" s="53">
        <v>1533.75</v>
      </c>
      <c r="U10" s="53">
        <v>1022.5</v>
      </c>
      <c r="V10" s="53">
        <v>4908</v>
      </c>
      <c r="W10" s="54">
        <v>0</v>
      </c>
      <c r="X10" s="172">
        <v>0</v>
      </c>
      <c r="Y10" s="53">
        <v>0</v>
      </c>
      <c r="Z10" s="54">
        <v>0</v>
      </c>
      <c r="AA10" s="172">
        <v>1278.125</v>
      </c>
      <c r="AB10" s="53">
        <v>971.375</v>
      </c>
      <c r="AC10" s="53">
        <v>0</v>
      </c>
      <c r="AD10" s="53">
        <v>4472</v>
      </c>
      <c r="AE10" s="275">
        <v>420</v>
      </c>
      <c r="AF10" s="54">
        <v>0</v>
      </c>
      <c r="AG10" s="172">
        <v>2461.1697000000004</v>
      </c>
      <c r="AH10" s="53">
        <v>914.2773199999999</v>
      </c>
      <c r="AI10" s="53">
        <v>1506.75</v>
      </c>
      <c r="AJ10" s="53">
        <v>10730.00273102879</v>
      </c>
      <c r="AK10" s="174">
        <v>1974.15</v>
      </c>
      <c r="AL10" s="53"/>
      <c r="AM10" s="275">
        <v>63937.664751028795</v>
      </c>
      <c r="AN10" s="4"/>
      <c r="AO10" s="4"/>
      <c r="AP10" s="4"/>
    </row>
    <row r="11" spans="1:42" ht="15">
      <c r="A11" s="20">
        <v>2011</v>
      </c>
      <c r="B11" s="21"/>
      <c r="C11" s="530">
        <v>56</v>
      </c>
      <c r="D11" s="298">
        <v>7513.44</v>
      </c>
      <c r="E11" s="53">
        <v>2195.563125</v>
      </c>
      <c r="F11" s="54">
        <v>1646.67234375</v>
      </c>
      <c r="G11" s="172">
        <v>862.5426562499999</v>
      </c>
      <c r="H11" s="53">
        <v>836.405</v>
      </c>
      <c r="I11" s="53">
        <v>540.8</v>
      </c>
      <c r="J11" s="54">
        <v>0</v>
      </c>
      <c r="K11" s="172">
        <v>1653.75</v>
      </c>
      <c r="L11" s="53">
        <v>1881.9112499999999</v>
      </c>
      <c r="M11" s="54"/>
      <c r="N11" s="53">
        <v>2169.4254687499997</v>
      </c>
      <c r="O11" s="53">
        <v>1306.8828125</v>
      </c>
      <c r="P11" s="53">
        <v>679.5790625</v>
      </c>
      <c r="Q11" s="172">
        <v>1698.94765625</v>
      </c>
      <c r="R11" s="54">
        <v>836.405</v>
      </c>
      <c r="S11" s="53">
        <v>8520.875937499999</v>
      </c>
      <c r="T11" s="53">
        <v>1568.2593749999999</v>
      </c>
      <c r="U11" s="53">
        <v>1045.50625</v>
      </c>
      <c r="V11" s="53">
        <v>5018.43</v>
      </c>
      <c r="W11" s="54">
        <v>0</v>
      </c>
      <c r="X11" s="172">
        <v>0</v>
      </c>
      <c r="Y11" s="53">
        <v>0</v>
      </c>
      <c r="Z11" s="54">
        <v>0</v>
      </c>
      <c r="AA11" s="172">
        <v>1306.8828125</v>
      </c>
      <c r="AB11" s="53">
        <v>993.2309375</v>
      </c>
      <c r="AC11" s="53">
        <v>0</v>
      </c>
      <c r="AD11" s="53">
        <v>4650.88</v>
      </c>
      <c r="AE11" s="275">
        <v>441</v>
      </c>
      <c r="AF11" s="54">
        <v>0</v>
      </c>
      <c r="AG11" s="172">
        <v>2517.7727717999996</v>
      </c>
      <c r="AH11" s="53">
        <v>932.7870155799999</v>
      </c>
      <c r="AI11" s="53">
        <v>1544.4187499999996</v>
      </c>
      <c r="AJ11" s="53">
        <v>11001.606766970406</v>
      </c>
      <c r="AK11" s="174">
        <v>2023.5037499999992</v>
      </c>
      <c r="AL11" s="53"/>
      <c r="AM11" s="275">
        <v>65387.47874185039</v>
      </c>
      <c r="AN11" s="4"/>
      <c r="AO11" s="4"/>
      <c r="AP11" s="4"/>
    </row>
    <row r="12" spans="1:42" ht="15">
      <c r="A12" s="20">
        <v>2012</v>
      </c>
      <c r="B12" s="21"/>
      <c r="C12" s="530">
        <v>57</v>
      </c>
      <c r="D12" s="172">
        <v>0</v>
      </c>
      <c r="E12" s="53">
        <v>2244.9632953125</v>
      </c>
      <c r="F12" s="54">
        <v>1683.7224714843749</v>
      </c>
      <c r="G12" s="172">
        <v>881.9498660156249</v>
      </c>
      <c r="H12" s="53">
        <v>855.2241124999999</v>
      </c>
      <c r="I12" s="53">
        <v>562.4320000000001</v>
      </c>
      <c r="J12" s="54">
        <v>0</v>
      </c>
      <c r="K12" s="172">
        <v>1736.4375</v>
      </c>
      <c r="L12" s="53">
        <v>1924.2542531249999</v>
      </c>
      <c r="M12" s="54"/>
      <c r="N12" s="53">
        <v>1996.4137876171872</v>
      </c>
      <c r="O12" s="53">
        <v>1336.2876757812498</v>
      </c>
      <c r="P12" s="53">
        <v>694.8695914062499</v>
      </c>
      <c r="Q12" s="172">
        <v>1737.1739785156249</v>
      </c>
      <c r="R12" s="54">
        <v>855.2241124999999</v>
      </c>
      <c r="S12" s="53">
        <v>8712.595646093749</v>
      </c>
      <c r="T12" s="53">
        <v>1603.5452109374999</v>
      </c>
      <c r="U12" s="53">
        <v>1069.0301406249998</v>
      </c>
      <c r="V12" s="53">
        <v>5131.344674999999</v>
      </c>
      <c r="W12" s="54">
        <v>0</v>
      </c>
      <c r="X12" s="172"/>
      <c r="Y12" s="53">
        <v>0</v>
      </c>
      <c r="Z12" s="54">
        <v>0</v>
      </c>
      <c r="AA12" s="172">
        <v>1336.2876757812498</v>
      </c>
      <c r="AB12" s="53">
        <v>1015.5786335937499</v>
      </c>
      <c r="AC12" s="53">
        <v>0</v>
      </c>
      <c r="AD12" s="53">
        <v>4836.9152</v>
      </c>
      <c r="AE12" s="275">
        <v>463.05</v>
      </c>
      <c r="AF12" s="54">
        <v>0</v>
      </c>
      <c r="AG12" s="172">
        <v>2575.5327356516996</v>
      </c>
      <c r="AH12" s="53">
        <v>951.6768560385198</v>
      </c>
      <c r="AI12" s="53">
        <v>1583.0292187499992</v>
      </c>
      <c r="AJ12" s="53">
        <v>11283.276478844688</v>
      </c>
      <c r="AK12" s="174">
        <v>2074.091343749999</v>
      </c>
      <c r="AL12" s="53"/>
      <c r="AM12" s="275">
        <v>59144.90645932397</v>
      </c>
      <c r="AN12" s="4"/>
      <c r="AO12" s="4"/>
      <c r="AP12" s="4"/>
    </row>
    <row r="13" spans="1:42" ht="15">
      <c r="A13" s="20">
        <v>2013</v>
      </c>
      <c r="B13" s="21"/>
      <c r="C13" s="530">
        <v>58</v>
      </c>
      <c r="D13" s="172">
        <v>0</v>
      </c>
      <c r="E13" s="53">
        <v>2295.4749694570314</v>
      </c>
      <c r="F13" s="54">
        <v>1721.6062270927732</v>
      </c>
      <c r="G13" s="172">
        <v>901.7937380009764</v>
      </c>
      <c r="H13" s="53">
        <v>874.46665503125</v>
      </c>
      <c r="I13" s="53">
        <v>584.9292800000002</v>
      </c>
      <c r="J13" s="54">
        <v>0</v>
      </c>
      <c r="K13" s="172">
        <v>1823.259375</v>
      </c>
      <c r="L13" s="53">
        <v>1967.5499738203123</v>
      </c>
      <c r="M13" s="54"/>
      <c r="N13" s="53">
        <v>2041.3330978385738</v>
      </c>
      <c r="O13" s="53">
        <v>1366.3541484863279</v>
      </c>
      <c r="P13" s="53">
        <v>710.5041572128905</v>
      </c>
      <c r="Q13" s="172">
        <v>1776.2603930322264</v>
      </c>
      <c r="R13" s="54">
        <v>874.46665503125</v>
      </c>
      <c r="S13" s="53">
        <v>8908.629048130857</v>
      </c>
      <c r="T13" s="53">
        <v>1639.6249781835936</v>
      </c>
      <c r="U13" s="53">
        <v>1093.0833187890623</v>
      </c>
      <c r="V13" s="53">
        <v>5246.799930187499</v>
      </c>
      <c r="W13" s="54">
        <v>0</v>
      </c>
      <c r="X13" s="172"/>
      <c r="Y13" s="53">
        <v>0</v>
      </c>
      <c r="Z13" s="54"/>
      <c r="AA13" s="172">
        <v>1366.3541484863279</v>
      </c>
      <c r="AB13" s="53">
        <v>1038.4291528496092</v>
      </c>
      <c r="AC13" s="53">
        <v>0</v>
      </c>
      <c r="AD13" s="53">
        <v>5030.391808</v>
      </c>
      <c r="AE13" s="275">
        <v>486.2025</v>
      </c>
      <c r="AF13" s="54">
        <v>0</v>
      </c>
      <c r="AG13" s="172">
        <v>2634.4736083462694</v>
      </c>
      <c r="AH13" s="53">
        <v>970.9547756448142</v>
      </c>
      <c r="AI13" s="53">
        <v>1622.6049492187492</v>
      </c>
      <c r="AJ13" s="53">
        <v>11613.437882935314</v>
      </c>
      <c r="AK13" s="174">
        <v>2125.943627343749</v>
      </c>
      <c r="AL13" s="53"/>
      <c r="AM13" s="275">
        <v>60714.92839811946</v>
      </c>
      <c r="AN13" s="4"/>
      <c r="AO13" s="4"/>
      <c r="AP13" s="4"/>
    </row>
    <row r="14" spans="1:42" ht="15">
      <c r="A14" s="20">
        <v>2014</v>
      </c>
      <c r="B14" s="21"/>
      <c r="C14" s="530">
        <v>59</v>
      </c>
      <c r="D14" s="172">
        <v>0</v>
      </c>
      <c r="E14" s="53">
        <v>2347.1231562698144</v>
      </c>
      <c r="F14" s="54">
        <v>1760.3423672023605</v>
      </c>
      <c r="G14" s="172">
        <v>922.0840971059984</v>
      </c>
      <c r="H14" s="53">
        <v>1100</v>
      </c>
      <c r="I14" s="53">
        <v>608.3264512000002</v>
      </c>
      <c r="J14" s="54">
        <v>0</v>
      </c>
      <c r="K14" s="172">
        <v>1914.4223437500002</v>
      </c>
      <c r="L14" s="53">
        <v>2011.8198482312691</v>
      </c>
      <c r="M14" s="54">
        <v>26000</v>
      </c>
      <c r="N14" s="53">
        <v>2087.2630925399417</v>
      </c>
      <c r="O14" s="53">
        <v>1397.0971168272702</v>
      </c>
      <c r="P14" s="53">
        <v>726.4905007501806</v>
      </c>
      <c r="Q14" s="172">
        <v>1816.2262518754515</v>
      </c>
      <c r="R14" s="54">
        <v>894.1421547694531</v>
      </c>
      <c r="S14" s="53">
        <v>9109.073201713802</v>
      </c>
      <c r="T14" s="53">
        <v>1676.5165401927245</v>
      </c>
      <c r="U14" s="53">
        <v>1117.6776934618163</v>
      </c>
      <c r="V14" s="53">
        <v>5364.852928616718</v>
      </c>
      <c r="W14" s="54">
        <v>0</v>
      </c>
      <c r="X14" s="172"/>
      <c r="Y14" s="53">
        <v>0</v>
      </c>
      <c r="Z14" s="54"/>
      <c r="AA14" s="172">
        <v>1397.0971168272702</v>
      </c>
      <c r="AB14" s="53">
        <v>1061.7938087887253</v>
      </c>
      <c r="AC14" s="53">
        <v>0</v>
      </c>
      <c r="AD14" s="53">
        <v>5231.607480320001</v>
      </c>
      <c r="AE14" s="275">
        <v>510.51262500000007</v>
      </c>
      <c r="AF14" s="54">
        <v>0</v>
      </c>
      <c r="AG14" s="172">
        <v>2694.619913889965</v>
      </c>
      <c r="AH14" s="53">
        <v>990.6288772071669</v>
      </c>
      <c r="AI14" s="53">
        <v>1663.1700729492177</v>
      </c>
      <c r="AJ14" s="53">
        <v>11954.913397082611</v>
      </c>
      <c r="AK14" s="174">
        <v>2179.0922180273424</v>
      </c>
      <c r="AL14" s="53"/>
      <c r="AM14" s="275">
        <v>88536.89325459911</v>
      </c>
      <c r="AN14" s="4"/>
      <c r="AO14" s="4" t="s">
        <v>1</v>
      </c>
      <c r="AP14" s="4"/>
    </row>
    <row r="15" spans="1:42" ht="15">
      <c r="A15" s="20">
        <v>2015</v>
      </c>
      <c r="B15" s="21"/>
      <c r="C15" s="530">
        <v>60</v>
      </c>
      <c r="D15" s="172">
        <v>0</v>
      </c>
      <c r="E15" s="53">
        <v>2399.933427285885</v>
      </c>
      <c r="F15" s="54">
        <v>1799.9500704644136</v>
      </c>
      <c r="G15" s="172">
        <v>942.8309892908833</v>
      </c>
      <c r="H15" s="53">
        <v>1124.75</v>
      </c>
      <c r="I15" s="53">
        <v>632.6595092480002</v>
      </c>
      <c r="J15" s="54">
        <v>0</v>
      </c>
      <c r="K15" s="172">
        <v>1000</v>
      </c>
      <c r="L15" s="53">
        <v>2057.0857948164726</v>
      </c>
      <c r="M15" s="54"/>
      <c r="N15" s="53">
        <v>2134.2265121220903</v>
      </c>
      <c r="O15" s="53">
        <v>1428.5318019558838</v>
      </c>
      <c r="P15" s="53">
        <v>742.8365370170596</v>
      </c>
      <c r="Q15" s="172">
        <v>1857.091342542649</v>
      </c>
      <c r="R15" s="54">
        <v>914.2603532517658</v>
      </c>
      <c r="S15" s="53">
        <v>9314.027348752361</v>
      </c>
      <c r="T15" s="53">
        <v>1714.2381623470608</v>
      </c>
      <c r="U15" s="53">
        <v>1142.825441564707</v>
      </c>
      <c r="V15" s="53">
        <v>5485.562119510593</v>
      </c>
      <c r="W15" s="54">
        <v>0</v>
      </c>
      <c r="X15" s="172"/>
      <c r="Y15" s="53">
        <v>0</v>
      </c>
      <c r="Z15" s="54"/>
      <c r="AA15" s="172">
        <v>1428.5318019558838</v>
      </c>
      <c r="AB15" s="53">
        <v>1085.6841694864715</v>
      </c>
      <c r="AC15" s="53">
        <v>0</v>
      </c>
      <c r="AD15" s="53">
        <v>5440.871779532801</v>
      </c>
      <c r="AE15" s="275">
        <v>536.0382562500001</v>
      </c>
      <c r="AF15" s="54">
        <v>0</v>
      </c>
      <c r="AG15" s="172">
        <v>2755.99669441362</v>
      </c>
      <c r="AH15" s="53">
        <v>1010.7074357198325</v>
      </c>
      <c r="AI15" s="53">
        <v>1704.749324772948</v>
      </c>
      <c r="AJ15" s="53">
        <v>11955.124087237531</v>
      </c>
      <c r="AK15" s="174">
        <v>2233.569523478026</v>
      </c>
      <c r="AL15" s="53"/>
      <c r="AM15" s="275">
        <v>62842.082483016944</v>
      </c>
      <c r="AN15" s="4"/>
      <c r="AO15" s="4"/>
      <c r="AP15" s="4"/>
    </row>
    <row r="16" spans="1:42" ht="15">
      <c r="A16" s="20">
        <v>2016</v>
      </c>
      <c r="B16" s="21"/>
      <c r="C16" s="530">
        <v>61</v>
      </c>
      <c r="D16" s="172">
        <v>0</v>
      </c>
      <c r="E16" s="53">
        <v>2453.9319293998174</v>
      </c>
      <c r="F16" s="54">
        <v>1840.448947049863</v>
      </c>
      <c r="G16" s="172">
        <v>964.0446865499281</v>
      </c>
      <c r="H16" s="53">
        <v>1150.056875</v>
      </c>
      <c r="I16" s="53">
        <v>657.9658896179202</v>
      </c>
      <c r="J16" s="54">
        <v>0</v>
      </c>
      <c r="K16" s="172">
        <v>1050</v>
      </c>
      <c r="L16" s="53">
        <v>2103.370225199843</v>
      </c>
      <c r="M16" s="54"/>
      <c r="N16" s="53">
        <v>2182.246608644837</v>
      </c>
      <c r="O16" s="53">
        <v>1460.673767499891</v>
      </c>
      <c r="P16" s="53">
        <v>759.5503590999434</v>
      </c>
      <c r="Q16" s="172">
        <v>1898.8758977498585</v>
      </c>
      <c r="R16" s="54">
        <v>934.8312111999304</v>
      </c>
      <c r="S16" s="53">
        <v>9523.592964099289</v>
      </c>
      <c r="T16" s="53">
        <v>1752.8085209998696</v>
      </c>
      <c r="U16" s="53">
        <v>1168.5390139999129</v>
      </c>
      <c r="V16" s="53">
        <v>5608.987267199582</v>
      </c>
      <c r="W16" s="54">
        <v>0</v>
      </c>
      <c r="X16" s="172"/>
      <c r="Y16" s="53">
        <v>0</v>
      </c>
      <c r="Z16" s="54"/>
      <c r="AA16" s="172">
        <v>1460.673767499891</v>
      </c>
      <c r="AB16" s="53">
        <v>1110.112063299917</v>
      </c>
      <c r="AC16" s="53">
        <v>0</v>
      </c>
      <c r="AD16" s="53">
        <v>5658.506650714114</v>
      </c>
      <c r="AE16" s="275">
        <v>562.8401690625002</v>
      </c>
      <c r="AF16" s="54">
        <v>0</v>
      </c>
      <c r="AG16" s="172">
        <v>2818.6295213212175</v>
      </c>
      <c r="AH16" s="53">
        <v>1031.1989020903814</v>
      </c>
      <c r="AI16" s="53">
        <v>1747.3680578922715</v>
      </c>
      <c r="AJ16" s="53">
        <v>12354.847108089225</v>
      </c>
      <c r="AK16" s="174">
        <v>2289.4087615649764</v>
      </c>
      <c r="AL16" s="53"/>
      <c r="AM16" s="275">
        <v>64543.509164844974</v>
      </c>
      <c r="AN16" s="4"/>
      <c r="AO16" s="4"/>
      <c r="AP16" s="4"/>
    </row>
    <row r="17" spans="1:42" ht="15">
      <c r="A17" s="20">
        <v>2017</v>
      </c>
      <c r="B17" s="21"/>
      <c r="C17" s="530">
        <v>62</v>
      </c>
      <c r="D17" s="172">
        <v>0</v>
      </c>
      <c r="E17" s="53">
        <v>2509.145397811313</v>
      </c>
      <c r="F17" s="54">
        <v>1881.8590483584849</v>
      </c>
      <c r="G17" s="172">
        <v>985.7356919973014</v>
      </c>
      <c r="H17" s="53">
        <v>1175.9331546874998</v>
      </c>
      <c r="I17" s="53">
        <v>2000</v>
      </c>
      <c r="J17" s="54">
        <v>0</v>
      </c>
      <c r="K17" s="172">
        <v>1102.5</v>
      </c>
      <c r="L17" s="53">
        <v>2150.6960552668393</v>
      </c>
      <c r="M17" s="54"/>
      <c r="N17" s="53">
        <v>2231.347157339346</v>
      </c>
      <c r="O17" s="53">
        <v>1493.5389272686384</v>
      </c>
      <c r="P17" s="53">
        <v>776.6402421796921</v>
      </c>
      <c r="Q17" s="172">
        <v>1941.6006054492302</v>
      </c>
      <c r="R17" s="54">
        <v>955.8649134519288</v>
      </c>
      <c r="S17" s="53">
        <v>9737.873805791523</v>
      </c>
      <c r="T17" s="53">
        <v>1792.2467127223667</v>
      </c>
      <c r="U17" s="53">
        <v>1194.8311418149108</v>
      </c>
      <c r="V17" s="53">
        <v>5735.189480711572</v>
      </c>
      <c r="W17" s="54">
        <v>0</v>
      </c>
      <c r="X17" s="172"/>
      <c r="Y17" s="53">
        <v>0</v>
      </c>
      <c r="Z17" s="54"/>
      <c r="AA17" s="172">
        <v>1493.5389272686384</v>
      </c>
      <c r="AB17" s="53">
        <v>1135.0895847241652</v>
      </c>
      <c r="AC17" s="53">
        <v>0</v>
      </c>
      <c r="AD17" s="53">
        <v>8000</v>
      </c>
      <c r="AE17" s="275">
        <v>590.9821775156253</v>
      </c>
      <c r="AF17" s="54">
        <v>0</v>
      </c>
      <c r="AG17" s="172">
        <v>2882.5445066829025</v>
      </c>
      <c r="AH17" s="53">
        <v>1052.111906949268</v>
      </c>
      <c r="AI17" s="53">
        <v>1791.052259339578</v>
      </c>
      <c r="AJ17" s="53">
        <v>12766.387305834569</v>
      </c>
      <c r="AK17" s="174">
        <v>2346.6439806041008</v>
      </c>
      <c r="AL17" s="53"/>
      <c r="AM17" s="275">
        <v>69723.3529837695</v>
      </c>
      <c r="AN17" s="4"/>
      <c r="AO17" s="4"/>
      <c r="AP17" s="4"/>
    </row>
    <row r="18" spans="1:42" ht="15">
      <c r="A18" s="20">
        <v>2018</v>
      </c>
      <c r="B18" s="21"/>
      <c r="C18" s="530">
        <v>63</v>
      </c>
      <c r="D18" s="172">
        <v>0</v>
      </c>
      <c r="E18" s="53">
        <v>2565.6011692620677</v>
      </c>
      <c r="F18" s="54">
        <v>1924.2008769465508</v>
      </c>
      <c r="G18" s="172">
        <v>1007.9147450672407</v>
      </c>
      <c r="H18" s="53">
        <v>1202.3916506679686</v>
      </c>
      <c r="I18" s="53">
        <v>2080</v>
      </c>
      <c r="J18" s="54">
        <v>0</v>
      </c>
      <c r="K18" s="172">
        <v>1157.625</v>
      </c>
      <c r="L18" s="53">
        <v>2199.086716510343</v>
      </c>
      <c r="M18" s="54"/>
      <c r="N18" s="53">
        <v>2281.552468379481</v>
      </c>
      <c r="O18" s="53">
        <v>1527.1435531321827</v>
      </c>
      <c r="P18" s="53">
        <v>794.1146476287352</v>
      </c>
      <c r="Q18" s="172">
        <v>1985.2866190718378</v>
      </c>
      <c r="R18" s="54">
        <v>977.3718740045972</v>
      </c>
      <c r="S18" s="53">
        <v>9956.975966421833</v>
      </c>
      <c r="T18" s="53">
        <v>1832.57226375862</v>
      </c>
      <c r="U18" s="53">
        <v>1221.7148425057462</v>
      </c>
      <c r="V18" s="53">
        <v>5864.231244027583</v>
      </c>
      <c r="W18" s="54">
        <v>0</v>
      </c>
      <c r="X18" s="172"/>
      <c r="Y18" s="53">
        <v>0</v>
      </c>
      <c r="Z18" s="54"/>
      <c r="AA18" s="172">
        <v>1527.1435531321827</v>
      </c>
      <c r="AB18" s="53">
        <v>1160.6291003804588</v>
      </c>
      <c r="AC18" s="53">
        <v>0</v>
      </c>
      <c r="AD18" s="53">
        <v>8320</v>
      </c>
      <c r="AE18" s="275">
        <v>620.5312863914065</v>
      </c>
      <c r="AF18" s="54">
        <v>0</v>
      </c>
      <c r="AG18" s="172">
        <v>0</v>
      </c>
      <c r="AH18" s="53">
        <v>0</v>
      </c>
      <c r="AI18" s="53">
        <v>0</v>
      </c>
      <c r="AJ18" s="53">
        <v>0</v>
      </c>
      <c r="AK18" s="174">
        <v>0</v>
      </c>
      <c r="AL18" s="53"/>
      <c r="AM18" s="275">
        <v>50206.08757728884</v>
      </c>
      <c r="AN18" s="4"/>
      <c r="AO18" s="4"/>
      <c r="AP18" s="4"/>
    </row>
    <row r="19" spans="1:42" ht="15">
      <c r="A19" s="20">
        <v>2019</v>
      </c>
      <c r="B19" s="21"/>
      <c r="C19" s="530">
        <v>64</v>
      </c>
      <c r="D19" s="172">
        <v>0</v>
      </c>
      <c r="E19" s="53">
        <v>2623.327195570464</v>
      </c>
      <c r="F19" s="54">
        <v>1967.495396677848</v>
      </c>
      <c r="G19" s="172">
        <v>1030.5928268312537</v>
      </c>
      <c r="H19" s="53">
        <v>1229.445462807998</v>
      </c>
      <c r="I19" s="53">
        <v>2163.2</v>
      </c>
      <c r="J19" s="54">
        <v>0</v>
      </c>
      <c r="K19" s="172">
        <v>1215.5062500000001</v>
      </c>
      <c r="L19" s="53">
        <v>2248.566167631826</v>
      </c>
      <c r="M19" s="54"/>
      <c r="N19" s="53">
        <v>2332.8873989180192</v>
      </c>
      <c r="O19" s="53">
        <v>1561.5042830776567</v>
      </c>
      <c r="P19" s="53">
        <v>811.9822272003817</v>
      </c>
      <c r="Q19" s="172">
        <v>2029.9555680009541</v>
      </c>
      <c r="R19" s="54">
        <v>999.3627411697006</v>
      </c>
      <c r="S19" s="53">
        <v>10181.007925666323</v>
      </c>
      <c r="T19" s="53">
        <v>1873.805139693189</v>
      </c>
      <c r="U19" s="53">
        <v>1249.2034264621254</v>
      </c>
      <c r="V19" s="53">
        <v>5996.176447018203</v>
      </c>
      <c r="W19" s="54">
        <v>0</v>
      </c>
      <c r="X19" s="172"/>
      <c r="Y19" s="53">
        <v>0</v>
      </c>
      <c r="Z19" s="54"/>
      <c r="AA19" s="172">
        <v>1561.5042830776567</v>
      </c>
      <c r="AB19" s="53">
        <v>1186.743255139019</v>
      </c>
      <c r="AC19" s="53">
        <v>0</v>
      </c>
      <c r="AD19" s="53">
        <v>8652.8</v>
      </c>
      <c r="AE19" s="275">
        <v>651.5578507109768</v>
      </c>
      <c r="AF19" s="54">
        <v>0</v>
      </c>
      <c r="AG19" s="172">
        <v>0</v>
      </c>
      <c r="AH19" s="53">
        <v>0</v>
      </c>
      <c r="AI19" s="53">
        <v>0</v>
      </c>
      <c r="AJ19" s="53">
        <v>1487.377663693948</v>
      </c>
      <c r="AK19" s="174">
        <v>0</v>
      </c>
      <c r="AL19" s="53"/>
      <c r="AM19" s="275">
        <v>53054.001509347545</v>
      </c>
      <c r="AN19" s="4"/>
      <c r="AO19" s="4"/>
      <c r="AP19" s="4"/>
    </row>
    <row r="20" spans="1:42" ht="15">
      <c r="A20" s="20">
        <v>2020</v>
      </c>
      <c r="B20" s="21"/>
      <c r="C20" s="530">
        <v>65</v>
      </c>
      <c r="D20" s="172">
        <v>0</v>
      </c>
      <c r="E20" s="53">
        <v>2682.3520574707995</v>
      </c>
      <c r="F20" s="54">
        <v>2011.7640431030995</v>
      </c>
      <c r="G20" s="172">
        <v>1053.7811654349568</v>
      </c>
      <c r="H20" s="53">
        <v>1257.1079857211778</v>
      </c>
      <c r="I20" s="53">
        <v>2249.7280000000005</v>
      </c>
      <c r="J20" s="54">
        <v>0</v>
      </c>
      <c r="K20" s="172">
        <v>1276.2815625000003</v>
      </c>
      <c r="L20" s="53">
        <v>2184.2009610833647</v>
      </c>
      <c r="M20" s="54"/>
      <c r="N20" s="53">
        <v>2385.3773653936746</v>
      </c>
      <c r="O20" s="53">
        <v>1596.638129446904</v>
      </c>
      <c r="P20" s="53">
        <v>830.2518273123902</v>
      </c>
      <c r="Q20" s="172">
        <v>2075.6295682809755</v>
      </c>
      <c r="R20" s="54">
        <v>1021.8484028460189</v>
      </c>
      <c r="S20" s="53">
        <v>10410.080603993814</v>
      </c>
      <c r="T20" s="53">
        <v>1915.9657553362856</v>
      </c>
      <c r="U20" s="53">
        <v>1277.3105035575231</v>
      </c>
      <c r="V20" s="53">
        <v>6131.090417076112</v>
      </c>
      <c r="W20" s="54">
        <v>0</v>
      </c>
      <c r="X20" s="172"/>
      <c r="Y20" s="53">
        <v>0</v>
      </c>
      <c r="Z20" s="54"/>
      <c r="AA20" s="172">
        <v>1596.638129446904</v>
      </c>
      <c r="AB20" s="53">
        <v>1213.444978379647</v>
      </c>
      <c r="AC20" s="53">
        <v>0</v>
      </c>
      <c r="AD20" s="53">
        <v>8998.912000000002</v>
      </c>
      <c r="AE20" s="275">
        <v>684.1357432465257</v>
      </c>
      <c r="AF20" s="54">
        <v>0</v>
      </c>
      <c r="AG20" s="172">
        <v>0</v>
      </c>
      <c r="AH20" s="53">
        <v>0</v>
      </c>
      <c r="AI20" s="53">
        <v>0</v>
      </c>
      <c r="AJ20" s="53">
        <v>3045.599522870788</v>
      </c>
      <c r="AK20" s="174">
        <v>0</v>
      </c>
      <c r="AL20" s="53"/>
      <c r="AM20" s="275">
        <v>55898.13872250096</v>
      </c>
      <c r="AN20" s="4"/>
      <c r="AO20" s="4"/>
      <c r="AP20" s="4"/>
    </row>
    <row r="21" spans="1:42" ht="15">
      <c r="A21" s="20">
        <v>2021</v>
      </c>
      <c r="B21" s="21"/>
      <c r="C21" s="530">
        <v>66</v>
      </c>
      <c r="D21" s="172">
        <v>0</v>
      </c>
      <c r="E21" s="53">
        <v>2742.7049787638925</v>
      </c>
      <c r="F21" s="54">
        <v>2057.028734072919</v>
      </c>
      <c r="G21" s="172">
        <v>1077.4912416572433</v>
      </c>
      <c r="H21" s="53">
        <v>1285.3929153999043</v>
      </c>
      <c r="I21" s="53">
        <v>2339.7171200000007</v>
      </c>
      <c r="J21" s="54">
        <v>0</v>
      </c>
      <c r="K21" s="172">
        <v>1340.0956406250004</v>
      </c>
      <c r="L21" s="53">
        <v>2121.678208572353</v>
      </c>
      <c r="M21" s="54"/>
      <c r="N21" s="53">
        <v>2439.048356115032</v>
      </c>
      <c r="O21" s="53">
        <v>1632.5624873594593</v>
      </c>
      <c r="P21" s="53">
        <v>848.932493426919</v>
      </c>
      <c r="Q21" s="172">
        <v>2122.331233567297</v>
      </c>
      <c r="R21" s="54">
        <v>1044.8399919100543</v>
      </c>
      <c r="S21" s="53">
        <v>10644.307417583675</v>
      </c>
      <c r="T21" s="53">
        <v>1959.074984831352</v>
      </c>
      <c r="U21" s="53">
        <v>1306.0499898875673</v>
      </c>
      <c r="V21" s="53">
        <v>6269.039951460325</v>
      </c>
      <c r="W21" s="54">
        <v>0</v>
      </c>
      <c r="X21" s="172"/>
      <c r="Y21" s="53">
        <v>0</v>
      </c>
      <c r="Z21" s="54"/>
      <c r="AA21" s="172">
        <v>1632.5624873594593</v>
      </c>
      <c r="AB21" s="53">
        <v>1240.7474903931889</v>
      </c>
      <c r="AC21" s="53">
        <v>0</v>
      </c>
      <c r="AD21" s="53">
        <v>9358.868480000003</v>
      </c>
      <c r="AE21" s="275">
        <v>718.3425304088521</v>
      </c>
      <c r="AF21" s="54">
        <v>0</v>
      </c>
      <c r="AG21" s="172">
        <v>0</v>
      </c>
      <c r="AH21" s="53">
        <v>0</v>
      </c>
      <c r="AI21" s="53">
        <v>0</v>
      </c>
      <c r="AJ21" s="53">
        <v>2776.934988940845</v>
      </c>
      <c r="AK21" s="174">
        <v>0</v>
      </c>
      <c r="AL21" s="53"/>
      <c r="AM21" s="275">
        <v>56957.75172233534</v>
      </c>
      <c r="AN21" s="4"/>
      <c r="AO21" s="4"/>
      <c r="AP21" s="4"/>
    </row>
    <row r="22" spans="1:42" ht="15">
      <c r="A22" s="20">
        <v>2022</v>
      </c>
      <c r="B22" s="21"/>
      <c r="C22" s="530">
        <v>67</v>
      </c>
      <c r="D22" s="172">
        <v>0</v>
      </c>
      <c r="E22" s="53">
        <v>2804.41584078608</v>
      </c>
      <c r="F22" s="54">
        <v>2103.3118805895597</v>
      </c>
      <c r="G22" s="172">
        <v>1101.7347945945312</v>
      </c>
      <c r="H22" s="53">
        <v>1314.3142559964022</v>
      </c>
      <c r="I22" s="53">
        <v>2433.3058048000007</v>
      </c>
      <c r="J22" s="54">
        <v>0</v>
      </c>
      <c r="K22" s="172">
        <v>1407.1004226562504</v>
      </c>
      <c r="L22" s="53">
        <v>2060.9451698519692</v>
      </c>
      <c r="M22" s="54"/>
      <c r="N22" s="53">
        <v>2493.9269441276206</v>
      </c>
      <c r="O22" s="53">
        <v>1669.295143325047</v>
      </c>
      <c r="P22" s="53">
        <v>868.0334745290246</v>
      </c>
      <c r="Q22" s="172">
        <v>2170.0836863225613</v>
      </c>
      <c r="R22" s="54">
        <v>1068.3488917280306</v>
      </c>
      <c r="S22" s="53">
        <v>10883.804334479308</v>
      </c>
      <c r="T22" s="53">
        <v>2003.1541719900572</v>
      </c>
      <c r="U22" s="53">
        <v>1335.4361146600374</v>
      </c>
      <c r="V22" s="53">
        <v>6410.093350368182</v>
      </c>
      <c r="W22" s="54">
        <v>0</v>
      </c>
      <c r="X22" s="172"/>
      <c r="Y22" s="53">
        <v>0</v>
      </c>
      <c r="Z22" s="54"/>
      <c r="AA22" s="172">
        <v>1669.295143325047</v>
      </c>
      <c r="AB22" s="53">
        <v>1268.6643089270356</v>
      </c>
      <c r="AC22" s="53">
        <v>0</v>
      </c>
      <c r="AD22" s="53">
        <v>9733.223219200003</v>
      </c>
      <c r="AE22" s="275">
        <v>754.2596569292947</v>
      </c>
      <c r="AF22" s="54">
        <v>0</v>
      </c>
      <c r="AG22" s="172">
        <v>0</v>
      </c>
      <c r="AH22" s="53">
        <v>0</v>
      </c>
      <c r="AI22" s="53">
        <v>0</v>
      </c>
      <c r="AJ22" s="53">
        <v>3543.038421579486</v>
      </c>
      <c r="AK22" s="53">
        <v>0</v>
      </c>
      <c r="AL22" s="53"/>
      <c r="AM22" s="275">
        <v>59095.785030765524</v>
      </c>
      <c r="AN22" s="4"/>
      <c r="AO22" s="4"/>
      <c r="AP22" s="4"/>
    </row>
    <row r="23" spans="1:42" ht="15">
      <c r="A23" s="20">
        <v>2023</v>
      </c>
      <c r="B23" s="21"/>
      <c r="C23" s="530">
        <v>68</v>
      </c>
      <c r="D23" s="172">
        <v>0</v>
      </c>
      <c r="E23" s="53">
        <v>2867.5151972037665</v>
      </c>
      <c r="F23" s="54">
        <v>2150.6363979028247</v>
      </c>
      <c r="G23" s="172">
        <v>1126.5238274729081</v>
      </c>
      <c r="H23" s="53">
        <v>1343.886326756321</v>
      </c>
      <c r="I23" s="53">
        <v>2530.6380369920007</v>
      </c>
      <c r="J23" s="54">
        <v>0</v>
      </c>
      <c r="K23" s="172">
        <v>1477.455443789063</v>
      </c>
      <c r="L23" s="53">
        <v>2001.9506143649564</v>
      </c>
      <c r="M23" s="54"/>
      <c r="N23" s="53">
        <v>2550.040300370492</v>
      </c>
      <c r="O23" s="53">
        <v>1706.8542840498606</v>
      </c>
      <c r="P23" s="53">
        <v>887.5642277059276</v>
      </c>
      <c r="Q23" s="172">
        <v>2218.910569264819</v>
      </c>
      <c r="R23" s="54">
        <v>1092.3867417919112</v>
      </c>
      <c r="S23" s="53">
        <v>11128.689932005092</v>
      </c>
      <c r="T23" s="53">
        <v>2048.2251408598336</v>
      </c>
      <c r="U23" s="53">
        <v>1365.4834272398882</v>
      </c>
      <c r="V23" s="53">
        <v>6554.320450751466</v>
      </c>
      <c r="W23" s="54">
        <v>0</v>
      </c>
      <c r="X23" s="172"/>
      <c r="Y23" s="53">
        <v>0</v>
      </c>
      <c r="Z23" s="54"/>
      <c r="AA23" s="172">
        <v>1706.8542840498606</v>
      </c>
      <c r="AB23" s="53">
        <v>1297.2092558778938</v>
      </c>
      <c r="AC23" s="53">
        <v>0</v>
      </c>
      <c r="AD23" s="53">
        <v>10122.552147968003</v>
      </c>
      <c r="AE23" s="275">
        <v>791.9726397757595</v>
      </c>
      <c r="AF23" s="54">
        <v>0</v>
      </c>
      <c r="AG23" s="172">
        <v>0</v>
      </c>
      <c r="AH23" s="53">
        <v>0</v>
      </c>
      <c r="AI23" s="53">
        <v>0</v>
      </c>
      <c r="AJ23" s="53">
        <v>3656.309392905769</v>
      </c>
      <c r="AK23" s="53">
        <v>0</v>
      </c>
      <c r="AL23" s="53"/>
      <c r="AM23" s="275">
        <v>60625.97863909842</v>
      </c>
      <c r="AN23" s="4"/>
      <c r="AO23" s="4"/>
      <c r="AP23" s="4"/>
    </row>
    <row r="24" spans="1:42" ht="15">
      <c r="A24" s="20">
        <v>2024</v>
      </c>
      <c r="B24" s="21"/>
      <c r="C24" s="530">
        <v>69</v>
      </c>
      <c r="D24" s="172">
        <v>0</v>
      </c>
      <c r="E24" s="53">
        <v>2932.0342891408513</v>
      </c>
      <c r="F24" s="54">
        <v>2199.025716855638</v>
      </c>
      <c r="G24" s="172">
        <v>1151.8706135910486</v>
      </c>
      <c r="H24" s="53">
        <v>1600</v>
      </c>
      <c r="I24" s="53">
        <v>2631.863558471681</v>
      </c>
      <c r="J24" s="54">
        <v>0</v>
      </c>
      <c r="K24" s="172">
        <v>1551.3282159785163</v>
      </c>
      <c r="L24" s="53">
        <v>1944.6447780287594</v>
      </c>
      <c r="M24" s="54">
        <v>30000</v>
      </c>
      <c r="N24" s="53">
        <v>2607.416207128828</v>
      </c>
      <c r="O24" s="53">
        <v>1745.2585054409824</v>
      </c>
      <c r="P24" s="53">
        <v>907.5344228293109</v>
      </c>
      <c r="Q24" s="172">
        <v>2268.8360570732775</v>
      </c>
      <c r="R24" s="54">
        <v>1116.9654434822291</v>
      </c>
      <c r="S24" s="53">
        <v>11379.085455475206</v>
      </c>
      <c r="T24" s="53">
        <v>2094.3102065291796</v>
      </c>
      <c r="U24" s="53">
        <v>1396.2068043527856</v>
      </c>
      <c r="V24" s="53">
        <v>6701.792660893373</v>
      </c>
      <c r="W24" s="54">
        <v>0</v>
      </c>
      <c r="X24" s="172"/>
      <c r="Y24" s="53">
        <v>0</v>
      </c>
      <c r="Z24" s="54"/>
      <c r="AA24" s="172">
        <v>1745.2585054409824</v>
      </c>
      <c r="AB24" s="53">
        <v>1326.3964641351465</v>
      </c>
      <c r="AC24" s="53">
        <v>0</v>
      </c>
      <c r="AD24" s="53">
        <v>10527.454233886723</v>
      </c>
      <c r="AE24" s="275">
        <v>831.5712717645475</v>
      </c>
      <c r="AF24" s="54">
        <v>0</v>
      </c>
      <c r="AG24" s="172">
        <v>0</v>
      </c>
      <c r="AH24" s="53">
        <v>0</v>
      </c>
      <c r="AI24" s="53">
        <v>0</v>
      </c>
      <c r="AJ24" s="53">
        <v>18161.61722235483</v>
      </c>
      <c r="AK24" s="53">
        <v>0</v>
      </c>
      <c r="AL24" s="53"/>
      <c r="AM24" s="275">
        <v>106820.4706328539</v>
      </c>
      <c r="AN24" s="4"/>
      <c r="AO24" s="4"/>
      <c r="AP24" s="4"/>
    </row>
    <row r="25" spans="1:42" ht="15">
      <c r="A25" s="20">
        <v>2025</v>
      </c>
      <c r="B25" s="21"/>
      <c r="C25" s="530">
        <v>70</v>
      </c>
      <c r="D25" s="172">
        <v>0</v>
      </c>
      <c r="E25" s="53">
        <v>2998.00506064652</v>
      </c>
      <c r="F25" s="54">
        <v>2248.50379548489</v>
      </c>
      <c r="G25" s="172">
        <v>1177.7877023968472</v>
      </c>
      <c r="H25" s="53">
        <v>1636</v>
      </c>
      <c r="I25" s="53">
        <v>2737.138100810548</v>
      </c>
      <c r="J25" s="54">
        <v>0</v>
      </c>
      <c r="K25" s="172">
        <v>1000</v>
      </c>
      <c r="L25" s="53">
        <v>1888.979321257686</v>
      </c>
      <c r="M25" s="54"/>
      <c r="N25" s="53">
        <v>2666.0830717892263</v>
      </c>
      <c r="O25" s="53">
        <v>1784.5268218134045</v>
      </c>
      <c r="P25" s="53">
        <v>927.9539473429703</v>
      </c>
      <c r="Q25" s="172">
        <v>2319.884868357426</v>
      </c>
      <c r="R25" s="54">
        <v>1142.0971659605793</v>
      </c>
      <c r="S25" s="53">
        <v>11344.237006267813</v>
      </c>
      <c r="T25" s="53">
        <v>2034.3605768672815</v>
      </c>
      <c r="U25" s="53">
        <v>1427.6214574507233</v>
      </c>
      <c r="V25" s="53">
        <v>6509.9538459753</v>
      </c>
      <c r="W25" s="54">
        <v>0</v>
      </c>
      <c r="X25" s="172"/>
      <c r="Y25" s="53">
        <v>0</v>
      </c>
      <c r="Z25" s="54"/>
      <c r="AA25" s="172">
        <v>1695.3004807227342</v>
      </c>
      <c r="AB25" s="53">
        <v>1220.6163461203687</v>
      </c>
      <c r="AC25" s="53"/>
      <c r="AD25" s="53">
        <v>10948.552403242193</v>
      </c>
      <c r="AE25" s="275">
        <v>873.149835352775</v>
      </c>
      <c r="AF25" s="54">
        <v>0</v>
      </c>
      <c r="AG25" s="172">
        <v>0</v>
      </c>
      <c r="AH25" s="53">
        <v>0</v>
      </c>
      <c r="AI25" s="53">
        <v>0</v>
      </c>
      <c r="AJ25" s="53">
        <v>5857.768531941694</v>
      </c>
      <c r="AK25" s="53">
        <v>0</v>
      </c>
      <c r="AL25" s="53"/>
      <c r="AM25" s="275">
        <v>64438.520339800976</v>
      </c>
      <c r="AN25" s="4"/>
      <c r="AO25" s="4"/>
      <c r="AP25" s="4"/>
    </row>
    <row r="26" spans="1:42" ht="15">
      <c r="A26" s="20">
        <v>2026</v>
      </c>
      <c r="B26" s="21"/>
      <c r="C26" s="530">
        <v>71</v>
      </c>
      <c r="D26" s="172">
        <v>0</v>
      </c>
      <c r="E26" s="53">
        <v>3065.4601745110667</v>
      </c>
      <c r="F26" s="54">
        <v>2299.0951308833</v>
      </c>
      <c r="G26" s="172">
        <v>1204.2879257007762</v>
      </c>
      <c r="H26" s="53">
        <v>1672.81</v>
      </c>
      <c r="I26" s="53">
        <v>2846.62362484297</v>
      </c>
      <c r="J26" s="54">
        <v>0</v>
      </c>
      <c r="K26" s="172">
        <v>1050</v>
      </c>
      <c r="L26" s="53">
        <v>1834.9072881866846</v>
      </c>
      <c r="M26" s="54"/>
      <c r="N26" s="53">
        <v>2726.0699409044837</v>
      </c>
      <c r="O26" s="53">
        <v>1824.678675304206</v>
      </c>
      <c r="P26" s="53">
        <v>948.8329111581871</v>
      </c>
      <c r="Q26" s="172">
        <v>2372.082277895468</v>
      </c>
      <c r="R26" s="54">
        <v>1167.7943521946922</v>
      </c>
      <c r="S26" s="53">
        <v>11309.495280436116</v>
      </c>
      <c r="T26" s="53">
        <v>1976.1270053544554</v>
      </c>
      <c r="U26" s="53">
        <v>1459.7429402433645</v>
      </c>
      <c r="V26" s="53">
        <v>6323.606417134257</v>
      </c>
      <c r="W26" s="54">
        <v>0</v>
      </c>
      <c r="X26" s="172"/>
      <c r="Y26" s="53">
        <v>0</v>
      </c>
      <c r="Z26" s="54"/>
      <c r="AA26" s="172">
        <v>1646.7725044620458</v>
      </c>
      <c r="AB26" s="53">
        <v>1123.2721925172693</v>
      </c>
      <c r="AC26" s="53"/>
      <c r="AD26" s="53">
        <v>11386.49449937188</v>
      </c>
      <c r="AE26" s="275">
        <v>916.8073271204138</v>
      </c>
      <c r="AF26" s="54">
        <v>0</v>
      </c>
      <c r="AG26" s="172">
        <v>0</v>
      </c>
      <c r="AH26" s="53">
        <v>0</v>
      </c>
      <c r="AI26" s="53">
        <v>0</v>
      </c>
      <c r="AJ26" s="53">
        <v>6482.693830152874</v>
      </c>
      <c r="AK26" s="53">
        <v>0</v>
      </c>
      <c r="AL26" s="53"/>
      <c r="AM26" s="275">
        <v>65637.65429837452</v>
      </c>
      <c r="AN26" s="4"/>
      <c r="AO26" s="4"/>
      <c r="AP26" s="4"/>
    </row>
    <row r="27" spans="1:42" ht="15">
      <c r="A27" s="20">
        <v>2027</v>
      </c>
      <c r="B27" s="21"/>
      <c r="C27" s="530">
        <v>72</v>
      </c>
      <c r="D27" s="172">
        <v>0</v>
      </c>
      <c r="E27" s="53">
        <v>3134.4330284375656</v>
      </c>
      <c r="F27" s="54">
        <v>2350.8247713281744</v>
      </c>
      <c r="G27" s="172">
        <v>1231.3844040290437</v>
      </c>
      <c r="H27" s="53">
        <v>1710.4482249999999</v>
      </c>
      <c r="I27" s="53">
        <v>2960.488569836689</v>
      </c>
      <c r="J27" s="54">
        <v>0</v>
      </c>
      <c r="K27" s="172">
        <v>1102.5</v>
      </c>
      <c r="L27" s="53">
        <v>1782.3830670623406</v>
      </c>
      <c r="M27" s="54"/>
      <c r="N27" s="53">
        <v>2787.4065145748345</v>
      </c>
      <c r="O27" s="53">
        <v>1865.7339454985506</v>
      </c>
      <c r="P27" s="53">
        <v>970.1816516592463</v>
      </c>
      <c r="Q27" s="172">
        <v>2425.454129148116</v>
      </c>
      <c r="R27" s="54">
        <v>1194.0697251190727</v>
      </c>
      <c r="S27" s="53">
        <v>11274.859951139779</v>
      </c>
      <c r="T27" s="53">
        <v>1919.560369826184</v>
      </c>
      <c r="U27" s="53">
        <v>1492.58715639884</v>
      </c>
      <c r="V27" s="53">
        <v>6142.593183443789</v>
      </c>
      <c r="W27" s="54">
        <v>0</v>
      </c>
      <c r="X27" s="172"/>
      <c r="Y27" s="53">
        <v>0</v>
      </c>
      <c r="Z27" s="54"/>
      <c r="AA27" s="172">
        <v>1599.6336415218198</v>
      </c>
      <c r="AB27" s="53">
        <v>1033.6912351640171</v>
      </c>
      <c r="AC27" s="53"/>
      <c r="AD27" s="53">
        <v>10657.75885141208</v>
      </c>
      <c r="AE27" s="275">
        <v>962.6476934764345</v>
      </c>
      <c r="AF27" s="54">
        <v>0</v>
      </c>
      <c r="AG27" s="172">
        <v>0</v>
      </c>
      <c r="AH27" s="53">
        <v>0</v>
      </c>
      <c r="AI27" s="53">
        <v>0</v>
      </c>
      <c r="AJ27" s="53">
        <v>6388.68039415771</v>
      </c>
      <c r="AK27" s="53">
        <v>0</v>
      </c>
      <c r="AL27" s="53"/>
      <c r="AM27" s="275">
        <v>64987.32050823429</v>
      </c>
      <c r="AN27" s="4"/>
      <c r="AO27" s="4"/>
      <c r="AP27" s="4"/>
    </row>
    <row r="28" spans="1:42" ht="15">
      <c r="A28" s="20">
        <v>2028</v>
      </c>
      <c r="B28" s="21"/>
      <c r="C28" s="530">
        <v>73</v>
      </c>
      <c r="D28" s="172">
        <v>0</v>
      </c>
      <c r="E28" s="53">
        <v>3204.9577715774108</v>
      </c>
      <c r="F28" s="54">
        <v>2403.718328683058</v>
      </c>
      <c r="G28" s="172">
        <v>1259.0905531196972</v>
      </c>
      <c r="H28" s="53">
        <v>1748.9333100625</v>
      </c>
      <c r="I28" s="53">
        <v>3078.9081126301567</v>
      </c>
      <c r="J28" s="54">
        <v>0</v>
      </c>
      <c r="K28" s="172">
        <v>1157.625</v>
      </c>
      <c r="L28" s="53">
        <v>1731.362351767681</v>
      </c>
      <c r="M28" s="54"/>
      <c r="N28" s="53">
        <v>2850.1231611527683</v>
      </c>
      <c r="O28" s="53">
        <v>1907.7129592722679</v>
      </c>
      <c r="P28" s="53">
        <v>992.0107388215794</v>
      </c>
      <c r="Q28" s="172">
        <v>2480.0268470539486</v>
      </c>
      <c r="R28" s="54">
        <v>1220.9362939342518</v>
      </c>
      <c r="S28" s="53">
        <v>11240.330692539412</v>
      </c>
      <c r="T28" s="53">
        <v>1864.6129542399094</v>
      </c>
      <c r="U28" s="53">
        <v>1526.1703674178138</v>
      </c>
      <c r="V28" s="53">
        <v>5966.76145356771</v>
      </c>
      <c r="W28" s="54">
        <v>0</v>
      </c>
      <c r="X28" s="172"/>
      <c r="Y28" s="53">
        <v>0</v>
      </c>
      <c r="Z28" s="54"/>
      <c r="AA28" s="172">
        <v>1553.8441285332574</v>
      </c>
      <c r="AB28" s="53">
        <v>951.2543591596867</v>
      </c>
      <c r="AC28" s="53"/>
      <c r="AD28" s="53">
        <v>9975.662284921707</v>
      </c>
      <c r="AE28" s="275">
        <v>1010.7800781502563</v>
      </c>
      <c r="AF28" s="54">
        <v>0</v>
      </c>
      <c r="AG28" s="172">
        <v>0</v>
      </c>
      <c r="AH28" s="53">
        <v>0</v>
      </c>
      <c r="AI28" s="53">
        <v>0</v>
      </c>
      <c r="AJ28" s="53">
        <v>6170.094353350009</v>
      </c>
      <c r="AK28" s="53">
        <v>0</v>
      </c>
      <c r="AL28" s="53"/>
      <c r="AM28" s="275">
        <v>64294.91609995509</v>
      </c>
      <c r="AN28" s="4"/>
      <c r="AO28" s="4"/>
      <c r="AP28" s="4"/>
    </row>
    <row r="29" spans="1:42" ht="15">
      <c r="A29" s="20">
        <v>2029</v>
      </c>
      <c r="B29" s="21"/>
      <c r="C29" s="530">
        <v>74</v>
      </c>
      <c r="D29" s="172">
        <v>0</v>
      </c>
      <c r="E29" s="53">
        <v>3277.0693214379025</v>
      </c>
      <c r="F29" s="54">
        <v>2457.801991078427</v>
      </c>
      <c r="G29" s="172">
        <v>1287.4200905648904</v>
      </c>
      <c r="H29" s="53">
        <v>1788.2843095389062</v>
      </c>
      <c r="I29" s="53">
        <v>3202.064437135363</v>
      </c>
      <c r="J29" s="54">
        <v>0</v>
      </c>
      <c r="K29" s="172">
        <v>1215.5062500000001</v>
      </c>
      <c r="L29" s="53">
        <v>1681.8021044483312</v>
      </c>
      <c r="M29" s="54"/>
      <c r="N29" s="53">
        <v>2914.2509322787055</v>
      </c>
      <c r="O29" s="53">
        <v>1950.636500855894</v>
      </c>
      <c r="P29" s="53">
        <v>1014.3309804450648</v>
      </c>
      <c r="Q29" s="172">
        <v>2535.8274511126624</v>
      </c>
      <c r="R29" s="54">
        <v>1248.4073605477724</v>
      </c>
      <c r="S29" s="53">
        <v>11205.907179793508</v>
      </c>
      <c r="T29" s="53">
        <v>1811.2384084247917</v>
      </c>
      <c r="U29" s="53">
        <v>1560.5092006847146</v>
      </c>
      <c r="V29" s="53">
        <v>5795.962906959335</v>
      </c>
      <c r="W29" s="54">
        <v>0</v>
      </c>
      <c r="X29" s="172"/>
      <c r="Y29" s="53">
        <v>0</v>
      </c>
      <c r="Z29" s="54"/>
      <c r="AA29" s="172">
        <v>1509.3653403539927</v>
      </c>
      <c r="AB29" s="53">
        <v>875.3918240167018</v>
      </c>
      <c r="AC29" s="53"/>
      <c r="AD29" s="53">
        <v>9337.219898686719</v>
      </c>
      <c r="AE29" s="275">
        <v>1061.319082057769</v>
      </c>
      <c r="AF29" s="54">
        <v>0</v>
      </c>
      <c r="AG29" s="172">
        <v>0</v>
      </c>
      <c r="AH29" s="53">
        <v>0</v>
      </c>
      <c r="AI29" s="53">
        <v>0</v>
      </c>
      <c r="AJ29" s="53">
        <v>6189.402868440453</v>
      </c>
      <c r="AK29" s="53">
        <v>0</v>
      </c>
      <c r="AL29" s="53"/>
      <c r="AM29" s="275">
        <v>63919.718438861906</v>
      </c>
      <c r="AN29" s="4"/>
      <c r="AO29" s="4"/>
      <c r="AP29" s="4"/>
    </row>
    <row r="30" spans="1:42" ht="15">
      <c r="A30" s="20">
        <v>2030</v>
      </c>
      <c r="B30" s="21"/>
      <c r="C30" s="530">
        <v>75</v>
      </c>
      <c r="D30" s="172">
        <v>0</v>
      </c>
      <c r="E30" s="53">
        <v>3350.8033811702553</v>
      </c>
      <c r="F30" s="54">
        <v>2513.1025358776915</v>
      </c>
      <c r="G30" s="172">
        <v>1316.3870426026003</v>
      </c>
      <c r="H30" s="53">
        <v>1828.5207065035315</v>
      </c>
      <c r="I30" s="53">
        <v>3330.1470146207776</v>
      </c>
      <c r="J30" s="54">
        <v>0</v>
      </c>
      <c r="K30" s="172">
        <v>1276.2815625000003</v>
      </c>
      <c r="L30" s="53">
        <v>1633.6605192084976</v>
      </c>
      <c r="M30" s="54"/>
      <c r="N30" s="53">
        <v>2979.8215782549764</v>
      </c>
      <c r="O30" s="53">
        <v>1994.5258221251515</v>
      </c>
      <c r="P30" s="53">
        <v>1037.1534275050788</v>
      </c>
      <c r="Q30" s="172">
        <v>2592.883568762697</v>
      </c>
      <c r="R30" s="54">
        <v>1276.4965261600973</v>
      </c>
      <c r="S30" s="53">
        <v>11171.589089055391</v>
      </c>
      <c r="T30" s="53">
        <v>1759.391708983632</v>
      </c>
      <c r="U30" s="53">
        <v>1515.8396248151146</v>
      </c>
      <c r="V30" s="53">
        <v>5630.053468747624</v>
      </c>
      <c r="W30" s="54">
        <v>0</v>
      </c>
      <c r="X30" s="172"/>
      <c r="Y30" s="53">
        <v>0</v>
      </c>
      <c r="Z30" s="54"/>
      <c r="AA30" s="172">
        <v>1466.1597574863595</v>
      </c>
      <c r="AB30" s="53">
        <v>805.5793260513698</v>
      </c>
      <c r="AC30" s="53"/>
      <c r="AD30" s="53">
        <v>8739.63782517077</v>
      </c>
      <c r="AE30" s="275">
        <v>1114.3850361606576</v>
      </c>
      <c r="AF30" s="54">
        <v>0</v>
      </c>
      <c r="AG30" s="172">
        <v>0</v>
      </c>
      <c r="AH30" s="53">
        <v>0</v>
      </c>
      <c r="AI30" s="53">
        <v>0</v>
      </c>
      <c r="AJ30" s="53">
        <v>6237.533352873694</v>
      </c>
      <c r="AK30" s="53">
        <v>0</v>
      </c>
      <c r="AL30" s="53"/>
      <c r="AM30" s="275">
        <v>63569.95287463598</v>
      </c>
      <c r="AN30" s="4"/>
      <c r="AO30" s="4"/>
      <c r="AP30" s="4"/>
    </row>
    <row r="31" spans="1:42" ht="15">
      <c r="A31" s="20">
        <v>2031</v>
      </c>
      <c r="B31" s="21"/>
      <c r="C31" s="530">
        <v>76</v>
      </c>
      <c r="D31" s="172">
        <v>0</v>
      </c>
      <c r="E31" s="53">
        <v>3426.196457246586</v>
      </c>
      <c r="F31" s="54">
        <v>2569.6473429349394</v>
      </c>
      <c r="G31" s="172">
        <v>1346.005751061159</v>
      </c>
      <c r="H31" s="53">
        <v>1869.6624223998608</v>
      </c>
      <c r="I31" s="53">
        <v>3463.3528952056085</v>
      </c>
      <c r="J31" s="54">
        <v>0</v>
      </c>
      <c r="K31" s="172">
        <v>1340.0956406250004</v>
      </c>
      <c r="L31" s="53">
        <v>1586.8969868461543</v>
      </c>
      <c r="M31" s="54"/>
      <c r="N31" s="53">
        <v>3046.8675637657134</v>
      </c>
      <c r="O31" s="53">
        <v>2039.4026531229674</v>
      </c>
      <c r="P31" s="53">
        <v>1060.489379623943</v>
      </c>
      <c r="Q31" s="172">
        <v>2651.2234490598576</v>
      </c>
      <c r="R31" s="54">
        <v>1305.2176979986996</v>
      </c>
      <c r="S31" s="53">
        <v>11137.376097470158</v>
      </c>
      <c r="T31" s="53">
        <v>1709.0291213139753</v>
      </c>
      <c r="U31" s="53">
        <v>1472.4487155547818</v>
      </c>
      <c r="V31" s="53">
        <v>5468.893188204723</v>
      </c>
      <c r="W31" s="54">
        <v>0</v>
      </c>
      <c r="X31" s="172"/>
      <c r="Y31" s="53">
        <v>0</v>
      </c>
      <c r="Z31" s="54"/>
      <c r="AA31" s="172">
        <v>1424.1909344283124</v>
      </c>
      <c r="AB31" s="53">
        <v>741.3343747987731</v>
      </c>
      <c r="AC31" s="53"/>
      <c r="AD31" s="53">
        <v>8180.301004359841</v>
      </c>
      <c r="AE31" s="275">
        <v>1170.1042879686904</v>
      </c>
      <c r="AF31" s="54">
        <v>0</v>
      </c>
      <c r="AG31" s="172">
        <v>0</v>
      </c>
      <c r="AH31" s="53">
        <v>0</v>
      </c>
      <c r="AI31" s="53">
        <v>0</v>
      </c>
      <c r="AJ31" s="53">
        <v>6281.312375375127</v>
      </c>
      <c r="AK31" s="53">
        <v>0</v>
      </c>
      <c r="AL31" s="53"/>
      <c r="AM31" s="275">
        <v>63290.04833936488</v>
      </c>
      <c r="AN31" s="4"/>
      <c r="AO31" s="4"/>
      <c r="AP31" s="4"/>
    </row>
    <row r="32" spans="1:42" ht="15">
      <c r="A32" s="20">
        <v>2032</v>
      </c>
      <c r="B32" s="21"/>
      <c r="C32" s="530">
        <v>77</v>
      </c>
      <c r="D32" s="172">
        <v>0</v>
      </c>
      <c r="E32" s="53">
        <v>3503.285877534634</v>
      </c>
      <c r="F32" s="54">
        <v>2627.4644081509755</v>
      </c>
      <c r="G32" s="172">
        <v>1376.290880460035</v>
      </c>
      <c r="H32" s="53">
        <v>1911.7298269038577</v>
      </c>
      <c r="I32" s="53">
        <v>3601.887011013833</v>
      </c>
      <c r="J32" s="54">
        <v>0</v>
      </c>
      <c r="K32" s="172">
        <v>1407.1004226562504</v>
      </c>
      <c r="L32" s="53">
        <v>1541.4720605976831</v>
      </c>
      <c r="M32" s="54"/>
      <c r="N32" s="53">
        <v>3115.422083950442</v>
      </c>
      <c r="O32" s="53">
        <v>2085.2892128182343</v>
      </c>
      <c r="P32" s="53">
        <v>1084.3503906654817</v>
      </c>
      <c r="Q32" s="172">
        <v>2710.8759766637045</v>
      </c>
      <c r="R32" s="54">
        <v>1334.5850962036702</v>
      </c>
      <c r="S32" s="53">
        <v>11103.267883171655</v>
      </c>
      <c r="T32" s="53">
        <v>1660.1081627163626</v>
      </c>
      <c r="U32" s="53">
        <v>1430.299871072026</v>
      </c>
      <c r="V32" s="53">
        <v>5312.346120692362</v>
      </c>
      <c r="W32" s="54">
        <v>0</v>
      </c>
      <c r="X32" s="172"/>
      <c r="Y32" s="53">
        <v>0</v>
      </c>
      <c r="Z32" s="54"/>
      <c r="AA32" s="172">
        <v>1383.4234689303019</v>
      </c>
      <c r="AB32" s="53">
        <v>682.2129584085709</v>
      </c>
      <c r="AC32" s="53"/>
      <c r="AD32" s="53">
        <v>7656.761740080811</v>
      </c>
      <c r="AE32" s="275">
        <v>1228.609502367125</v>
      </c>
      <c r="AF32" s="54">
        <v>0</v>
      </c>
      <c r="AG32" s="172">
        <v>0</v>
      </c>
      <c r="AH32" s="53">
        <v>0</v>
      </c>
      <c r="AI32" s="53">
        <v>0</v>
      </c>
      <c r="AJ32" s="53">
        <v>7292.114005210258</v>
      </c>
      <c r="AK32" s="53">
        <v>0</v>
      </c>
      <c r="AL32" s="53"/>
      <c r="AM32" s="275">
        <v>64048.89696026827</v>
      </c>
      <c r="AN32" s="4"/>
      <c r="AO32" s="4"/>
      <c r="AP32" s="4"/>
    </row>
    <row r="33" spans="1:42" ht="15">
      <c r="A33" s="20">
        <v>2033</v>
      </c>
      <c r="B33" s="21"/>
      <c r="C33" s="530">
        <v>78</v>
      </c>
      <c r="D33" s="172">
        <v>0</v>
      </c>
      <c r="E33" s="53">
        <v>3582.1098097791632</v>
      </c>
      <c r="F33" s="54">
        <v>2686.5823573343723</v>
      </c>
      <c r="G33" s="172">
        <v>1407.2574252703857</v>
      </c>
      <c r="H33" s="53">
        <v>1954.7437480091944</v>
      </c>
      <c r="I33" s="53">
        <v>3745.9624914543865</v>
      </c>
      <c r="J33" s="54">
        <v>0</v>
      </c>
      <c r="K33" s="172">
        <v>1477.455443789063</v>
      </c>
      <c r="L33" s="53">
        <v>1497.3474228630744</v>
      </c>
      <c r="M33" s="54"/>
      <c r="N33" s="53">
        <v>3185.5190808393268</v>
      </c>
      <c r="O33" s="53">
        <v>2132.2082201066446</v>
      </c>
      <c r="P33" s="53">
        <v>1108.748274455455</v>
      </c>
      <c r="Q33" s="172">
        <v>2771.8706861386377</v>
      </c>
      <c r="R33" s="54">
        <v>1364.6132608682528</v>
      </c>
      <c r="S33" s="53">
        <v>11069.26412527944</v>
      </c>
      <c r="T33" s="53">
        <v>1612.5875665586066</v>
      </c>
      <c r="U33" s="53">
        <v>1389.3575372625892</v>
      </c>
      <c r="V33" s="53">
        <v>5160.280212987543</v>
      </c>
      <c r="W33" s="54">
        <v>0</v>
      </c>
      <c r="X33" s="172"/>
      <c r="Y33" s="53">
        <v>0</v>
      </c>
      <c r="Z33" s="54"/>
      <c r="AA33" s="172">
        <v>1343.822972132172</v>
      </c>
      <c r="AB33" s="53">
        <v>627.8064749754874</v>
      </c>
      <c r="AC33" s="53"/>
      <c r="AD33" s="53">
        <v>7166.728988715639</v>
      </c>
      <c r="AE33" s="275">
        <v>1290.0399774854814</v>
      </c>
      <c r="AF33" s="54">
        <v>0</v>
      </c>
      <c r="AG33" s="172">
        <v>0</v>
      </c>
      <c r="AH33" s="53">
        <v>0</v>
      </c>
      <c r="AI33" s="53">
        <v>0</v>
      </c>
      <c r="AJ33" s="53">
        <v>6539.955528529819</v>
      </c>
      <c r="AK33" s="53">
        <v>0</v>
      </c>
      <c r="AL33" s="53"/>
      <c r="AM33" s="275">
        <v>63114.26160483472</v>
      </c>
      <c r="AN33" s="4"/>
      <c r="AO33" s="4"/>
      <c r="AP33" s="4"/>
    </row>
    <row r="34" spans="1:42" ht="15">
      <c r="A34" s="20">
        <v>2034</v>
      </c>
      <c r="B34" s="21"/>
      <c r="C34" s="530">
        <v>79</v>
      </c>
      <c r="D34" s="172">
        <v>0</v>
      </c>
      <c r="E34" s="53">
        <v>3662.7072804991944</v>
      </c>
      <c r="F34" s="54">
        <v>2747.0304603743957</v>
      </c>
      <c r="G34" s="172">
        <v>1438.9207173389693</v>
      </c>
      <c r="H34" s="53">
        <v>1998.7254823394012</v>
      </c>
      <c r="I34" s="53">
        <v>3895.8009911125623</v>
      </c>
      <c r="J34" s="54">
        <v>0</v>
      </c>
      <c r="K34" s="172">
        <v>1551.3282159785163</v>
      </c>
      <c r="L34" s="53">
        <v>1454.485852883619</v>
      </c>
      <c r="M34" s="54"/>
      <c r="N34" s="53">
        <v>3257.1932601582116</v>
      </c>
      <c r="O34" s="53">
        <v>2180.182905059044</v>
      </c>
      <c r="P34" s="53">
        <v>1133.6951106307026</v>
      </c>
      <c r="Q34" s="172">
        <v>2834.237776576757</v>
      </c>
      <c r="R34" s="54">
        <v>1395.3170592377885</v>
      </c>
      <c r="S34" s="53">
        <v>11035.364503895771</v>
      </c>
      <c r="T34" s="53">
        <v>1566.4272474658662</v>
      </c>
      <c r="U34" s="53">
        <v>1349.5871777584475</v>
      </c>
      <c r="V34" s="53">
        <v>5012.567191890774</v>
      </c>
      <c r="W34" s="54">
        <v>0</v>
      </c>
      <c r="X34" s="172"/>
      <c r="Y34" s="53">
        <v>0</v>
      </c>
      <c r="Z34" s="54"/>
      <c r="AA34" s="172">
        <v>1305.3560395548884</v>
      </c>
      <c r="AB34" s="53">
        <v>577.7389085961923</v>
      </c>
      <c r="AC34" s="53"/>
      <c r="AD34" s="53">
        <v>6708.058333437839</v>
      </c>
      <c r="AE34" s="275">
        <v>1354.5419763597554</v>
      </c>
      <c r="AF34" s="54">
        <v>0</v>
      </c>
      <c r="AG34" s="172">
        <v>0</v>
      </c>
      <c r="AH34" s="53">
        <v>0</v>
      </c>
      <c r="AI34" s="53">
        <v>0</v>
      </c>
      <c r="AJ34" s="53">
        <v>6385.454858005718</v>
      </c>
      <c r="AK34" s="53">
        <v>0</v>
      </c>
      <c r="AL34" s="53"/>
      <c r="AM34" s="275">
        <v>62844.72134915441</v>
      </c>
      <c r="AN34" s="4"/>
      <c r="AO34" s="4"/>
      <c r="AP34" s="4"/>
    </row>
    <row r="35" spans="1:42" ht="15">
      <c r="A35" s="20">
        <v>2035</v>
      </c>
      <c r="B35" s="21"/>
      <c r="C35" s="530">
        <v>80</v>
      </c>
      <c r="D35" s="172">
        <v>0</v>
      </c>
      <c r="E35" s="53">
        <v>3745.118194310426</v>
      </c>
      <c r="F35" s="54">
        <v>2808.8386457328197</v>
      </c>
      <c r="G35" s="172">
        <v>1471.296433479096</v>
      </c>
      <c r="H35" s="53">
        <v>2043.6968056920377</v>
      </c>
      <c r="I35" s="53">
        <v>4051.633030757065</v>
      </c>
      <c r="J35" s="54">
        <v>0</v>
      </c>
      <c r="K35" s="172">
        <v>1628.8946267774422</v>
      </c>
      <c r="L35" s="53">
        <v>1412.8511953448253</v>
      </c>
      <c r="M35" s="54"/>
      <c r="N35" s="53">
        <v>3330.480108511771</v>
      </c>
      <c r="O35" s="53">
        <v>2229.2370204228723</v>
      </c>
      <c r="P35" s="53">
        <v>1159.2032506198934</v>
      </c>
      <c r="Q35" s="172">
        <v>2898.008126549734</v>
      </c>
      <c r="R35" s="54">
        <v>1426.7116930706386</v>
      </c>
      <c r="S35" s="53">
        <v>11001.568700102589</v>
      </c>
      <c r="T35" s="53">
        <v>1521.5882675071557</v>
      </c>
      <c r="U35" s="53">
        <v>1310.9552447951119</v>
      </c>
      <c r="V35" s="53">
        <v>4869.0824560229</v>
      </c>
      <c r="W35" s="54">
        <v>0</v>
      </c>
      <c r="X35" s="172"/>
      <c r="Y35" s="53">
        <v>0</v>
      </c>
      <c r="Z35" s="54"/>
      <c r="AA35" s="172">
        <v>1267.9902229226295</v>
      </c>
      <c r="AB35" s="53">
        <v>531.664230635646</v>
      </c>
      <c r="AC35" s="53"/>
      <c r="AD35" s="53">
        <v>6278.742600097818</v>
      </c>
      <c r="AE35" s="275">
        <v>1422.2690751777432</v>
      </c>
      <c r="AF35" s="54">
        <v>0</v>
      </c>
      <c r="AG35" s="172">
        <v>0</v>
      </c>
      <c r="AH35" s="53">
        <v>0</v>
      </c>
      <c r="AI35" s="53">
        <v>0</v>
      </c>
      <c r="AJ35" s="53">
        <v>6935.479558780928</v>
      </c>
      <c r="AK35" s="53">
        <v>0</v>
      </c>
      <c r="AL35" s="53"/>
      <c r="AM35" s="275">
        <v>63345.30948731114</v>
      </c>
      <c r="AN35" s="4"/>
      <c r="AO35" s="4"/>
      <c r="AP35" s="4"/>
    </row>
    <row r="36" spans="1:42" ht="15">
      <c r="A36" s="20">
        <v>2036</v>
      </c>
      <c r="B36" s="21"/>
      <c r="C36" s="530">
        <v>81</v>
      </c>
      <c r="D36" s="172">
        <v>0</v>
      </c>
      <c r="E36" s="53">
        <v>3829.3833536824104</v>
      </c>
      <c r="F36" s="54">
        <v>2872.037515261808</v>
      </c>
      <c r="G36" s="172">
        <v>1504.4006032323757</v>
      </c>
      <c r="H36" s="53">
        <v>0</v>
      </c>
      <c r="I36" s="53">
        <v>4213.698351987348</v>
      </c>
      <c r="J36" s="54">
        <v>0</v>
      </c>
      <c r="K36" s="172">
        <v>0</v>
      </c>
      <c r="L36" s="53">
        <v>1372.4083298780797</v>
      </c>
      <c r="M36" s="54"/>
      <c r="N36" s="53">
        <v>3405.4159109532857</v>
      </c>
      <c r="O36" s="53">
        <v>2279.394853382387</v>
      </c>
      <c r="P36" s="53">
        <v>1185.285323758841</v>
      </c>
      <c r="Q36" s="172">
        <v>2963.213309397103</v>
      </c>
      <c r="R36" s="54">
        <v>1458.8127061647278</v>
      </c>
      <c r="S36" s="53">
        <v>10967.876395958525</v>
      </c>
      <c r="T36" s="53">
        <v>1478.0328033497633</v>
      </c>
      <c r="U36" s="53">
        <v>1273.4291509128516</v>
      </c>
      <c r="V36" s="53">
        <v>4729.704970719245</v>
      </c>
      <c r="W36" s="54">
        <v>0</v>
      </c>
      <c r="X36" s="172"/>
      <c r="Y36" s="53">
        <v>0</v>
      </c>
      <c r="Z36" s="54"/>
      <c r="AA36" s="172">
        <v>1231.694002791469</v>
      </c>
      <c r="AB36" s="53">
        <v>489.26400824245326</v>
      </c>
      <c r="AC36" s="53"/>
      <c r="AD36" s="53">
        <v>5876.903073691557</v>
      </c>
      <c r="AE36" s="275">
        <v>1493.3825289366305</v>
      </c>
      <c r="AF36" s="54">
        <v>0</v>
      </c>
      <c r="AG36" s="172">
        <v>0</v>
      </c>
      <c r="AH36" s="53">
        <v>0</v>
      </c>
      <c r="AI36" s="53">
        <v>0</v>
      </c>
      <c r="AJ36" s="53">
        <v>6503.8118776737065</v>
      </c>
      <c r="AK36" s="53">
        <v>0</v>
      </c>
      <c r="AL36" s="53"/>
      <c r="AM36" s="275">
        <v>59128.14906997456</v>
      </c>
      <c r="AN36" s="4"/>
      <c r="AO36" s="4"/>
      <c r="AP36" s="4"/>
    </row>
    <row r="37" spans="1:42" ht="15">
      <c r="A37" s="20">
        <v>2037</v>
      </c>
      <c r="B37" s="21"/>
      <c r="C37" s="530">
        <v>82</v>
      </c>
      <c r="D37" s="172">
        <v>0</v>
      </c>
      <c r="E37" s="53">
        <v>3915.5444791402647</v>
      </c>
      <c r="F37" s="54">
        <v>2936.6583593551986</v>
      </c>
      <c r="G37" s="172">
        <v>1538.249616805104</v>
      </c>
      <c r="H37" s="53">
        <v>0</v>
      </c>
      <c r="I37" s="53">
        <v>4382.246286066842</v>
      </c>
      <c r="J37" s="54">
        <v>0</v>
      </c>
      <c r="K37" s="172">
        <v>0</v>
      </c>
      <c r="L37" s="53">
        <v>1333.1231414353197</v>
      </c>
      <c r="M37" s="54"/>
      <c r="N37" s="53">
        <v>3482.0377689497345</v>
      </c>
      <c r="O37" s="53">
        <v>2330.6812375834907</v>
      </c>
      <c r="P37" s="53">
        <v>1211.954243543415</v>
      </c>
      <c r="Q37" s="172">
        <v>3029.8856088585376</v>
      </c>
      <c r="R37" s="54">
        <v>1491.6359920534342</v>
      </c>
      <c r="S37" s="53">
        <v>10934.287274495902</v>
      </c>
      <c r="T37" s="53">
        <v>1435.7241143538763</v>
      </c>
      <c r="U37" s="53">
        <v>1236.9772414679712</v>
      </c>
      <c r="V37" s="53">
        <v>4594.317165932405</v>
      </c>
      <c r="W37" s="54">
        <v>0</v>
      </c>
      <c r="X37" s="172"/>
      <c r="Y37" s="53">
        <v>0</v>
      </c>
      <c r="Z37" s="54"/>
      <c r="AA37" s="172">
        <v>1196.436761961563</v>
      </c>
      <c r="AB37" s="53">
        <v>450.2452035851176</v>
      </c>
      <c r="AC37" s="53"/>
      <c r="AD37" s="53">
        <v>5500.781276975298</v>
      </c>
      <c r="AE37" s="275">
        <v>1568.051655383462</v>
      </c>
      <c r="AF37" s="54">
        <v>0</v>
      </c>
      <c r="AG37" s="172">
        <v>0</v>
      </c>
      <c r="AH37" s="53">
        <v>0</v>
      </c>
      <c r="AI37" s="53">
        <v>0</v>
      </c>
      <c r="AJ37" s="53">
        <v>6583.079351221713</v>
      </c>
      <c r="AK37" s="53">
        <v>0</v>
      </c>
      <c r="AL37" s="53"/>
      <c r="AM37" s="275">
        <v>59151.916779168656</v>
      </c>
      <c r="AN37" s="4"/>
      <c r="AO37" s="4"/>
      <c r="AP37" s="4"/>
    </row>
    <row r="38" spans="1:42" ht="15">
      <c r="A38" s="20">
        <v>2038</v>
      </c>
      <c r="B38" s="21"/>
      <c r="C38" s="530">
        <v>83</v>
      </c>
      <c r="D38" s="172">
        <v>0</v>
      </c>
      <c r="E38" s="53">
        <v>4003.6442299209207</v>
      </c>
      <c r="F38" s="54">
        <v>3002.7331724406904</v>
      </c>
      <c r="G38" s="172">
        <v>1572.860233183219</v>
      </c>
      <c r="H38" s="53">
        <v>0</v>
      </c>
      <c r="I38" s="53">
        <v>4557.536137509516</v>
      </c>
      <c r="J38" s="54">
        <v>0</v>
      </c>
      <c r="K38" s="172">
        <v>0</v>
      </c>
      <c r="L38" s="53">
        <v>1294.9624915117336</v>
      </c>
      <c r="M38" s="54"/>
      <c r="N38" s="53">
        <v>3560.3836187511033</v>
      </c>
      <c r="O38" s="53">
        <v>2383.121565429119</v>
      </c>
      <c r="P38" s="53">
        <v>1239.2232140231417</v>
      </c>
      <c r="Q38" s="172">
        <v>3098.058035057855</v>
      </c>
      <c r="R38" s="54">
        <v>1525.1978018746363</v>
      </c>
      <c r="S38" s="53">
        <v>10900.801019717757</v>
      </c>
      <c r="T38" s="53">
        <v>1394.6265115804965</v>
      </c>
      <c r="U38" s="53">
        <v>1201.5687679309503</v>
      </c>
      <c r="V38" s="53">
        <v>4462.80483705759</v>
      </c>
      <c r="W38" s="54">
        <v>0</v>
      </c>
      <c r="X38" s="172"/>
      <c r="Y38" s="53">
        <v>0</v>
      </c>
      <c r="Z38" s="54"/>
      <c r="AA38" s="172">
        <v>1162.1887596504132</v>
      </c>
      <c r="AB38" s="53">
        <v>414.3381485992045</v>
      </c>
      <c r="AC38" s="53"/>
      <c r="AD38" s="53">
        <v>5148.731275248879</v>
      </c>
      <c r="AE38" s="275">
        <v>1646.4542381526353</v>
      </c>
      <c r="AF38" s="54">
        <v>0</v>
      </c>
      <c r="AG38" s="172">
        <v>0</v>
      </c>
      <c r="AH38" s="53">
        <v>0</v>
      </c>
      <c r="AI38" s="53">
        <v>0</v>
      </c>
      <c r="AJ38" s="53">
        <v>6661.503188486273</v>
      </c>
      <c r="AK38" s="53">
        <v>0</v>
      </c>
      <c r="AL38" s="53"/>
      <c r="AM38" s="275">
        <v>59230.73724612614</v>
      </c>
      <c r="AN38" s="4"/>
      <c r="AO38" s="4"/>
      <c r="AP38" s="4"/>
    </row>
    <row r="39" spans="1:39" ht="15">
      <c r="A39" s="20">
        <v>2039</v>
      </c>
      <c r="B39" s="21"/>
      <c r="C39" s="530">
        <v>84</v>
      </c>
      <c r="D39" s="172">
        <v>0</v>
      </c>
      <c r="E39" s="53">
        <v>4093.7262250941412</v>
      </c>
      <c r="F39" s="54">
        <v>3070.2946688206057</v>
      </c>
      <c r="G39" s="172">
        <v>1608.2495884298414</v>
      </c>
      <c r="H39" s="53">
        <v>0</v>
      </c>
      <c r="I39" s="53">
        <v>4739.837583009897</v>
      </c>
      <c r="J39" s="54">
        <v>0</v>
      </c>
      <c r="K39" s="172">
        <v>0</v>
      </c>
      <c r="L39" s="53">
        <v>1257.89419019221</v>
      </c>
      <c r="M39" s="54"/>
      <c r="N39" s="53">
        <v>3640.492250173003</v>
      </c>
      <c r="O39" s="53">
        <v>2436.7418006512744</v>
      </c>
      <c r="P39" s="53">
        <v>1267.1057363386624</v>
      </c>
      <c r="Q39" s="172">
        <v>3167.7643408466565</v>
      </c>
      <c r="R39" s="54">
        <v>1559.5147524168156</v>
      </c>
      <c r="S39" s="53">
        <v>10867.41731659487</v>
      </c>
      <c r="T39" s="53">
        <v>1354.7053276865047</v>
      </c>
      <c r="U39" s="53">
        <v>1167.1738619489267</v>
      </c>
      <c r="V39" s="53">
        <v>4335.057048596816</v>
      </c>
      <c r="W39" s="54">
        <v>0</v>
      </c>
      <c r="X39" s="172"/>
      <c r="Y39" s="53">
        <v>0</v>
      </c>
      <c r="Z39" s="54"/>
      <c r="AA39" s="172">
        <v>1128.92110640542</v>
      </c>
      <c r="AB39" s="53">
        <v>381.29468124841793</v>
      </c>
      <c r="AC39" s="53"/>
      <c r="AD39" s="53">
        <v>4819.212473632951</v>
      </c>
      <c r="AE39" s="275">
        <v>1728.7769500602672</v>
      </c>
      <c r="AF39" s="54">
        <v>0</v>
      </c>
      <c r="AG39" s="172">
        <v>0</v>
      </c>
      <c r="AH39" s="53">
        <v>0</v>
      </c>
      <c r="AI39" s="53">
        <v>0</v>
      </c>
      <c r="AJ39" s="53">
        <v>6739.751237521284</v>
      </c>
      <c r="AK39" s="53">
        <v>0</v>
      </c>
      <c r="AL39" s="53"/>
      <c r="AM39" s="275">
        <v>59363.93113966855</v>
      </c>
    </row>
    <row r="40" spans="1:39" ht="15">
      <c r="A40" s="20">
        <v>2040</v>
      </c>
      <c r="B40" s="21"/>
      <c r="C40" s="530">
        <v>85</v>
      </c>
      <c r="D40" s="172">
        <v>0</v>
      </c>
      <c r="E40" s="53">
        <v>4185.835065158759</v>
      </c>
      <c r="F40" s="54">
        <v>3139.376298869069</v>
      </c>
      <c r="G40" s="172">
        <v>1644.4352041695129</v>
      </c>
      <c r="H40" s="53">
        <v>0</v>
      </c>
      <c r="I40" s="53">
        <v>4929.431086330293</v>
      </c>
      <c r="J40" s="54">
        <v>0</v>
      </c>
      <c r="K40" s="172">
        <v>0</v>
      </c>
      <c r="L40" s="53">
        <v>1221.886968997958</v>
      </c>
      <c r="M40" s="54"/>
      <c r="N40" s="53">
        <v>3722.4033258018953</v>
      </c>
      <c r="O40" s="53">
        <v>2491.5684911659278</v>
      </c>
      <c r="P40" s="53">
        <v>1295.6156154062821</v>
      </c>
      <c r="Q40" s="172">
        <v>3239.039038515706</v>
      </c>
      <c r="R40" s="54">
        <v>1594.603834346194</v>
      </c>
      <c r="S40" s="53">
        <v>10834.135851062798</v>
      </c>
      <c r="T40" s="53">
        <v>1315.9268876814785</v>
      </c>
      <c r="U40" s="53">
        <v>1133.7635101506387</v>
      </c>
      <c r="V40" s="53">
        <v>4210.966040580731</v>
      </c>
      <c r="W40" s="54">
        <v>0</v>
      </c>
      <c r="X40" s="172"/>
      <c r="Y40" s="53">
        <v>0</v>
      </c>
      <c r="Z40" s="54"/>
      <c r="AA40" s="172">
        <v>1096.6057397345646</v>
      </c>
      <c r="AB40" s="53">
        <v>350.8864304188566</v>
      </c>
      <c r="AC40" s="53"/>
      <c r="AD40" s="53">
        <v>4510.782875320442</v>
      </c>
      <c r="AE40" s="275">
        <v>1815.2157975632806</v>
      </c>
      <c r="AF40" s="54">
        <v>0</v>
      </c>
      <c r="AG40" s="172">
        <v>0</v>
      </c>
      <c r="AH40" s="53">
        <v>0</v>
      </c>
      <c r="AI40" s="53">
        <v>0</v>
      </c>
      <c r="AJ40" s="53">
        <v>6824.183182869494</v>
      </c>
      <c r="AK40" s="53">
        <v>0</v>
      </c>
      <c r="AL40" s="53"/>
      <c r="AM40" s="275">
        <v>59556.66124414387</v>
      </c>
    </row>
    <row r="41" spans="1:39" ht="15">
      <c r="A41" s="20">
        <v>2041</v>
      </c>
      <c r="B41" s="21"/>
      <c r="C41" s="530">
        <v>86</v>
      </c>
      <c r="D41" s="172">
        <v>0</v>
      </c>
      <c r="E41" s="53">
        <v>4280.016354124831</v>
      </c>
      <c r="F41" s="54">
        <v>3210.012265593623</v>
      </c>
      <c r="G41" s="172">
        <v>1681.4349962633269</v>
      </c>
      <c r="H41" s="53">
        <v>0</v>
      </c>
      <c r="I41" s="53">
        <v>5126.608329783505</v>
      </c>
      <c r="J41" s="54">
        <v>0</v>
      </c>
      <c r="K41" s="172">
        <v>0</v>
      </c>
      <c r="L41" s="53">
        <v>1186.9104545103914</v>
      </c>
      <c r="M41" s="54"/>
      <c r="N41" s="53">
        <v>3806.1574006324377</v>
      </c>
      <c r="O41" s="53">
        <v>2547.628782217161</v>
      </c>
      <c r="P41" s="53">
        <v>1324.7669667529235</v>
      </c>
      <c r="Q41" s="172">
        <v>3311.917416882309</v>
      </c>
      <c r="R41" s="54">
        <v>1630.4824206189833</v>
      </c>
      <c r="S41" s="53">
        <v>10800.956310018917</v>
      </c>
      <c r="T41" s="53">
        <v>1278.258480521596</v>
      </c>
      <c r="U41" s="53">
        <v>1101.3095296725764</v>
      </c>
      <c r="V41" s="53">
        <v>4090.4271376691067</v>
      </c>
      <c r="W41" s="54">
        <v>0</v>
      </c>
      <c r="X41" s="172"/>
      <c r="Y41" s="53">
        <v>0</v>
      </c>
      <c r="Z41" s="54"/>
      <c r="AA41" s="172">
        <v>1065.2154004346626</v>
      </c>
      <c r="AB41" s="53">
        <v>322.9032375929528</v>
      </c>
      <c r="AC41" s="53"/>
      <c r="AD41" s="53">
        <v>4222.092771299935</v>
      </c>
      <c r="AE41" s="275">
        <v>1905.9765874414447</v>
      </c>
      <c r="AF41" s="54">
        <v>0</v>
      </c>
      <c r="AG41" s="172">
        <v>0</v>
      </c>
      <c r="AH41" s="53">
        <v>0</v>
      </c>
      <c r="AI41" s="53">
        <v>0</v>
      </c>
      <c r="AJ41" s="53">
        <v>6918.553763420856</v>
      </c>
      <c r="AK41" s="53">
        <v>0</v>
      </c>
      <c r="AL41" s="53"/>
      <c r="AM41" s="275">
        <v>59811.62860545154</v>
      </c>
    </row>
    <row r="42" spans="1:39" ht="15">
      <c r="A42" s="20">
        <v>2042</v>
      </c>
      <c r="B42" s="21"/>
      <c r="C42" s="530">
        <v>87</v>
      </c>
      <c r="D42" s="172">
        <v>1</v>
      </c>
      <c r="E42" s="53">
        <v>4376.31672209264</v>
      </c>
      <c r="F42" s="54">
        <v>3282.237541569479</v>
      </c>
      <c r="G42" s="172">
        <v>1719.2672836792517</v>
      </c>
      <c r="H42" s="53">
        <v>0</v>
      </c>
      <c r="I42" s="53">
        <v>5331.6726629748455</v>
      </c>
      <c r="J42" s="54">
        <v>0</v>
      </c>
      <c r="K42" s="172">
        <v>0</v>
      </c>
      <c r="L42" s="53">
        <v>1152.9351427500312</v>
      </c>
      <c r="M42" s="54"/>
      <c r="N42" s="53">
        <v>3891.7959421466676</v>
      </c>
      <c r="O42" s="53">
        <v>2604.9504298170473</v>
      </c>
      <c r="P42" s="53">
        <v>1354.5742235048642</v>
      </c>
      <c r="Q42" s="172">
        <v>3386.4355587621612</v>
      </c>
      <c r="R42" s="54">
        <v>1667.1682750829104</v>
      </c>
      <c r="S42" s="53">
        <v>10767.878381319482</v>
      </c>
      <c r="T42" s="53">
        <v>1241.6683315166654</v>
      </c>
      <c r="U42" s="53">
        <v>1069.7845443856988</v>
      </c>
      <c r="V42" s="53">
        <v>3973.3386608533283</v>
      </c>
      <c r="W42" s="54">
        <v>0</v>
      </c>
      <c r="X42" s="172"/>
      <c r="Y42" s="53">
        <v>1</v>
      </c>
      <c r="Z42" s="54"/>
      <c r="AA42" s="172">
        <v>1034.7236095972203</v>
      </c>
      <c r="AB42" s="53">
        <v>297.1517043949148</v>
      </c>
      <c r="AC42" s="53"/>
      <c r="AD42" s="53">
        <v>3951.878833936739</v>
      </c>
      <c r="AE42" s="275">
        <v>2001.275416813517</v>
      </c>
      <c r="AF42" s="54">
        <v>0</v>
      </c>
      <c r="AG42" s="172">
        <v>0</v>
      </c>
      <c r="AH42" s="53">
        <v>0</v>
      </c>
      <c r="AI42" s="53">
        <v>1</v>
      </c>
      <c r="AJ42" s="53">
        <v>7010.92644424645</v>
      </c>
      <c r="AK42" s="53">
        <v>0</v>
      </c>
      <c r="AL42" s="53"/>
      <c r="AM42" s="275">
        <v>60118.979709443905</v>
      </c>
    </row>
    <row r="43" spans="1:39" ht="15">
      <c r="A43" s="20">
        <v>2043</v>
      </c>
      <c r="B43" s="21"/>
      <c r="C43" s="530">
        <v>88</v>
      </c>
      <c r="D43" s="172">
        <v>2</v>
      </c>
      <c r="E43" s="53">
        <v>4474.783848339724</v>
      </c>
      <c r="F43" s="54">
        <v>3356.0878862547925</v>
      </c>
      <c r="G43" s="172">
        <v>1757.9507975620347</v>
      </c>
      <c r="H43" s="53">
        <v>0</v>
      </c>
      <c r="I43" s="53">
        <v>5544.939569493839</v>
      </c>
      <c r="J43" s="54">
        <v>0</v>
      </c>
      <c r="K43" s="172">
        <v>0</v>
      </c>
      <c r="L43" s="53">
        <v>1119.9323742888116</v>
      </c>
      <c r="M43" s="54"/>
      <c r="N43" s="53">
        <v>3979.3613508449675</v>
      </c>
      <c r="O43" s="53">
        <v>2663.561814487931</v>
      </c>
      <c r="P43" s="53">
        <v>1385.0521435337237</v>
      </c>
      <c r="Q43" s="172">
        <v>3462.63035883431</v>
      </c>
      <c r="R43" s="54">
        <v>1704.6795612722758</v>
      </c>
      <c r="S43" s="53">
        <v>10734.90175377669</v>
      </c>
      <c r="T43" s="53">
        <v>1206.1255755270008</v>
      </c>
      <c r="U43" s="53">
        <v>1039.161961802658</v>
      </c>
      <c r="V43" s="53">
        <v>3859.6018416864017</v>
      </c>
      <c r="W43" s="54">
        <v>0</v>
      </c>
      <c r="X43" s="172"/>
      <c r="Y43" s="53">
        <v>2</v>
      </c>
      <c r="Z43" s="54"/>
      <c r="AA43" s="172">
        <v>1005.1046462724998</v>
      </c>
      <c r="AB43" s="53">
        <v>273.4538559694203</v>
      </c>
      <c r="AC43" s="53"/>
      <c r="AD43" s="53">
        <v>3698.958588564788</v>
      </c>
      <c r="AE43" s="275">
        <v>2101.3391876541928</v>
      </c>
      <c r="AF43" s="54">
        <v>0</v>
      </c>
      <c r="AG43" s="172">
        <v>0</v>
      </c>
      <c r="AH43" s="53">
        <v>0</v>
      </c>
      <c r="AI43" s="53">
        <v>2</v>
      </c>
      <c r="AJ43" s="53">
        <v>7086.124679103934</v>
      </c>
      <c r="AK43" s="53">
        <v>0</v>
      </c>
      <c r="AL43" s="53"/>
      <c r="AM43" s="275">
        <v>60459.75179527</v>
      </c>
    </row>
    <row r="44" spans="1:39" ht="15">
      <c r="A44" s="20">
        <v>2044</v>
      </c>
      <c r="B44" s="21"/>
      <c r="C44" s="530">
        <v>89</v>
      </c>
      <c r="D44" s="172">
        <v>3</v>
      </c>
      <c r="E44" s="53">
        <v>4575.466484927367</v>
      </c>
      <c r="F44" s="54">
        <v>3431.599863695525</v>
      </c>
      <c r="G44" s="172">
        <v>1797.5046905071804</v>
      </c>
      <c r="H44" s="53">
        <v>0</v>
      </c>
      <c r="I44" s="53">
        <v>5766.737152273593</v>
      </c>
      <c r="J44" s="54">
        <v>0</v>
      </c>
      <c r="K44" s="172">
        <v>0</v>
      </c>
      <c r="L44" s="53">
        <v>1087.8743100747943</v>
      </c>
      <c r="M44" s="54"/>
      <c r="N44" s="53">
        <v>4068.896981238979</v>
      </c>
      <c r="O44" s="53">
        <v>2723.4919553139093</v>
      </c>
      <c r="P44" s="53">
        <v>1416.2158167632324</v>
      </c>
      <c r="Q44" s="172">
        <v>3540.539541908082</v>
      </c>
      <c r="R44" s="54">
        <v>1743.034851400902</v>
      </c>
      <c r="S44" s="53">
        <v>10702.026117155749</v>
      </c>
      <c r="T44" s="53">
        <v>1171.6002309275402</v>
      </c>
      <c r="U44" s="53">
        <v>1009.4159506460569</v>
      </c>
      <c r="V44" s="53">
        <v>3749.1207389681285</v>
      </c>
      <c r="W44" s="54">
        <v>0</v>
      </c>
      <c r="X44" s="172"/>
      <c r="Y44" s="53">
        <v>3</v>
      </c>
      <c r="Z44" s="54"/>
      <c r="AA44" s="172">
        <v>976.3335257729495</v>
      </c>
      <c r="AB44" s="53">
        <v>251.64591095585905</v>
      </c>
      <c r="AC44" s="53"/>
      <c r="AD44" s="53">
        <v>3462.2252388966417</v>
      </c>
      <c r="AE44" s="275">
        <v>2206.4061470369024</v>
      </c>
      <c r="AF44" s="54">
        <v>0</v>
      </c>
      <c r="AG44" s="172">
        <v>0</v>
      </c>
      <c r="AH44" s="53">
        <v>0</v>
      </c>
      <c r="AI44" s="53">
        <v>3</v>
      </c>
      <c r="AJ44" s="53">
        <v>7161.854794295557</v>
      </c>
      <c r="AK44" s="53">
        <v>0</v>
      </c>
      <c r="AL44" s="53"/>
      <c r="AM44" s="275">
        <v>60850.990302758946</v>
      </c>
    </row>
    <row r="45" spans="1:39" ht="15">
      <c r="A45" s="20">
        <v>2045</v>
      </c>
      <c r="B45" s="21"/>
      <c r="C45" s="530">
        <v>90</v>
      </c>
      <c r="D45" s="172">
        <v>4</v>
      </c>
      <c r="E45" s="53">
        <v>4678.4144808382325</v>
      </c>
      <c r="F45" s="54">
        <v>3508.810860628674</v>
      </c>
      <c r="G45" s="172">
        <v>1837.948546043592</v>
      </c>
      <c r="H45" s="53">
        <v>0</v>
      </c>
      <c r="I45" s="53">
        <v>5997.406638364537</v>
      </c>
      <c r="J45" s="54">
        <v>0</v>
      </c>
      <c r="K45" s="172">
        <v>0</v>
      </c>
      <c r="L45" s="53">
        <v>1056.7339079489034</v>
      </c>
      <c r="M45" s="54"/>
      <c r="N45" s="53">
        <v>4160.447163316856</v>
      </c>
      <c r="O45" s="53">
        <v>2784.770524308472</v>
      </c>
      <c r="P45" s="53">
        <v>1448.080672640405</v>
      </c>
      <c r="Q45" s="172">
        <v>3620.2016816010137</v>
      </c>
      <c r="R45" s="54">
        <v>1782.2531355574222</v>
      </c>
      <c r="S45" s="53">
        <v>10669.251162171959</v>
      </c>
      <c r="T45" s="53">
        <v>1138.0631743172394</v>
      </c>
      <c r="U45" s="53">
        <v>980.5214190588134</v>
      </c>
      <c r="V45" s="53">
        <v>3641.8021578151656</v>
      </c>
      <c r="W45" s="54">
        <v>0</v>
      </c>
      <c r="X45" s="172"/>
      <c r="Y45" s="53">
        <v>4</v>
      </c>
      <c r="Z45" s="54"/>
      <c r="AA45" s="172">
        <v>948.3859785976988</v>
      </c>
      <c r="AB45" s="53">
        <v>231.57714955712927</v>
      </c>
      <c r="AC45" s="53"/>
      <c r="AD45" s="53">
        <v>3240.642823607257</v>
      </c>
      <c r="AE45" s="275">
        <v>2316.7264543887477</v>
      </c>
      <c r="AF45" s="54">
        <v>0</v>
      </c>
      <c r="AG45" s="172">
        <v>0</v>
      </c>
      <c r="AH45" s="53">
        <v>0</v>
      </c>
      <c r="AI45" s="53">
        <v>4</v>
      </c>
      <c r="AJ45" s="53">
        <v>7329.823933618598</v>
      </c>
      <c r="AK45" s="53">
        <v>0</v>
      </c>
      <c r="AL45" s="53"/>
      <c r="AM45" s="275">
        <v>61383.86186438073</v>
      </c>
    </row>
    <row r="46" spans="1:39" ht="15.75" thickBot="1">
      <c r="A46" s="28">
        <v>2046</v>
      </c>
      <c r="B46" s="55"/>
      <c r="C46" s="531">
        <v>91</v>
      </c>
      <c r="D46" s="173">
        <v>5</v>
      </c>
      <c r="E46" s="56">
        <v>4783.6788066570925</v>
      </c>
      <c r="F46" s="57">
        <v>3587.759104992819</v>
      </c>
      <c r="G46" s="173">
        <v>1879.3023883295728</v>
      </c>
      <c r="H46" s="56">
        <v>0</v>
      </c>
      <c r="I46" s="56">
        <v>6237.302903899118</v>
      </c>
      <c r="J46" s="57">
        <v>0</v>
      </c>
      <c r="K46" s="173">
        <v>0</v>
      </c>
      <c r="L46" s="56">
        <v>1026.484899833866</v>
      </c>
      <c r="M46" s="57"/>
      <c r="N46" s="56">
        <v>4254.057224491485</v>
      </c>
      <c r="O46" s="56">
        <v>2847.4278611054124</v>
      </c>
      <c r="P46" s="56">
        <v>1480.662487774814</v>
      </c>
      <c r="Q46" s="173">
        <v>3701.6562194370363</v>
      </c>
      <c r="R46" s="57">
        <v>1822.3538311074642</v>
      </c>
      <c r="S46" s="173">
        <v>10636.576580487806</v>
      </c>
      <c r="T46" s="56">
        <v>1105.4861159524082</v>
      </c>
      <c r="U46" s="56">
        <v>952.4539934382549</v>
      </c>
      <c r="V46" s="56">
        <v>3537.555571047706</v>
      </c>
      <c r="W46" s="57">
        <v>0</v>
      </c>
      <c r="X46" s="173"/>
      <c r="Y46" s="56">
        <v>5</v>
      </c>
      <c r="Z46" s="57"/>
      <c r="AA46" s="173">
        <v>921.2384299603395</v>
      </c>
      <c r="AB46" s="56">
        <v>213.1088718799482</v>
      </c>
      <c r="AC46" s="56"/>
      <c r="AD46" s="56">
        <v>3033.2416828963924</v>
      </c>
      <c r="AE46" s="276">
        <v>2432.5627771081854</v>
      </c>
      <c r="AF46" s="57">
        <v>0</v>
      </c>
      <c r="AG46" s="173">
        <v>0</v>
      </c>
      <c r="AH46" s="56">
        <v>0</v>
      </c>
      <c r="AI46" s="56">
        <v>5</v>
      </c>
      <c r="AJ46" s="56">
        <v>7510.658100106075</v>
      </c>
      <c r="AK46" s="56">
        <v>0</v>
      </c>
      <c r="AL46" s="56"/>
      <c r="AM46" s="276">
        <v>61978.567850505795</v>
      </c>
    </row>
    <row r="47" spans="4:39" ht="1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4:39" ht="1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4:39" ht="1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4:39" ht="1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4:39" ht="1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4:39" ht="1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4:39" ht="1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4:39" ht="1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4:39" ht="1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4:39" ht="1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4:39" ht="1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4:39" ht="1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4:39" ht="1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4:39" ht="1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4:39" ht="1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4:39" ht="1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4:39" ht="1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4:39" ht="1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4:39" ht="1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4:39" ht="1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4:39" ht="1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4:39" ht="1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4:39" ht="1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4:39" ht="1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4:39" ht="1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4:39" ht="1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4:39" ht="1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4:39" ht="1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4:39" ht="1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4:39" ht="1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</sheetData>
  <sheetProtection password="DF35" sheet="1" objects="1" scenarios="1"/>
  <mergeCells count="1">
    <mergeCell ref="A2:AM2"/>
  </mergeCells>
  <printOptions gridLines="1" horizontalCentered="1" verticalCentered="1"/>
  <pageMargins left="0.75" right="0.75" top="1" bottom="1" header="0.5" footer="0.5"/>
  <pageSetup horizontalDpi="300" verticalDpi="300" orientation="portrait" scale="90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F14" sqref="F14"/>
    </sheetView>
  </sheetViews>
  <sheetFormatPr defaultColWidth="9.140625" defaultRowHeight="12.75"/>
  <cols>
    <col min="1" max="1" width="20.140625" style="61" bestFit="1" customWidth="1"/>
    <col min="2" max="2" width="12.00390625" style="61" bestFit="1" customWidth="1"/>
    <col min="3" max="3" width="12.8515625" style="61" customWidth="1"/>
    <col min="4" max="4" width="11.28125" style="61" customWidth="1"/>
    <col min="5" max="16384" width="9.140625" style="61" customWidth="1"/>
  </cols>
  <sheetData>
    <row r="1" spans="1:4" ht="15.75" thickBot="1">
      <c r="A1" s="264" t="s">
        <v>227</v>
      </c>
      <c r="B1" s="265"/>
      <c r="C1" s="265"/>
      <c r="D1" s="266"/>
    </row>
    <row r="2" spans="1:4" ht="14.25">
      <c r="A2" s="64"/>
      <c r="B2" s="65"/>
      <c r="C2" s="65"/>
      <c r="D2" s="77"/>
    </row>
    <row r="3" spans="1:4" ht="15.75" thickBot="1">
      <c r="A3" s="284"/>
      <c r="B3" s="287"/>
      <c r="C3" s="285" t="str">
        <f>'Financial Assessment'!B10</f>
        <v>Bill</v>
      </c>
      <c r="D3" s="286" t="str">
        <f>'Financial Assessment'!B15</f>
        <v>Jane</v>
      </c>
    </row>
    <row r="4" spans="1:4" ht="14.25">
      <c r="A4" s="68"/>
      <c r="B4" s="69"/>
      <c r="C4" s="69"/>
      <c r="D4" s="78"/>
    </row>
    <row r="5" spans="1:4" ht="14.25">
      <c r="A5" s="68" t="s">
        <v>228</v>
      </c>
      <c r="B5" s="69"/>
      <c r="C5" s="69"/>
      <c r="D5" s="78"/>
    </row>
    <row r="6" spans="1:4" ht="14.25">
      <c r="A6" s="68" t="s">
        <v>231</v>
      </c>
      <c r="B6" s="69"/>
      <c r="C6" s="69">
        <v>1954</v>
      </c>
      <c r="D6" s="78">
        <v>1956</v>
      </c>
    </row>
    <row r="7" spans="1:4" ht="14.25">
      <c r="A7" s="68" t="s">
        <v>229</v>
      </c>
      <c r="B7" s="69"/>
      <c r="C7" s="69">
        <f>C6+18</f>
        <v>1972</v>
      </c>
      <c r="D7" s="78">
        <f>D6+18</f>
        <v>1974</v>
      </c>
    </row>
    <row r="8" spans="1:4" ht="14.25">
      <c r="A8" s="68" t="s">
        <v>230</v>
      </c>
      <c r="B8" s="69"/>
      <c r="C8" s="69">
        <v>2019</v>
      </c>
      <c r="D8" s="78">
        <f>D6+65</f>
        <v>2021</v>
      </c>
    </row>
    <row r="9" spans="1:4" ht="14.25">
      <c r="A9" s="68"/>
      <c r="B9" s="69"/>
      <c r="C9" s="69"/>
      <c r="D9" s="78"/>
    </row>
    <row r="10" spans="1:4" ht="14.25">
      <c r="A10" s="68" t="s">
        <v>232</v>
      </c>
      <c r="B10" s="69"/>
      <c r="C10" s="288">
        <f>C8-C7</f>
        <v>47</v>
      </c>
      <c r="D10" s="289">
        <f>D8-D7</f>
        <v>47</v>
      </c>
    </row>
    <row r="11" spans="1:4" ht="14.25">
      <c r="A11" s="68"/>
      <c r="B11" s="69"/>
      <c r="C11" s="69"/>
      <c r="D11" s="78"/>
    </row>
    <row r="12" spans="1:4" ht="14.25">
      <c r="A12" s="68" t="s">
        <v>233</v>
      </c>
      <c r="B12" s="69"/>
      <c r="C12" s="288">
        <f>0.15*C10</f>
        <v>7.05</v>
      </c>
      <c r="D12" s="289">
        <f>0.15*D10</f>
        <v>7.05</v>
      </c>
    </row>
    <row r="13" spans="1:4" ht="14.25">
      <c r="A13" s="68" t="s">
        <v>234</v>
      </c>
      <c r="B13" s="69"/>
      <c r="C13" s="69"/>
      <c r="D13" s="289">
        <f>0.15*D10</f>
        <v>7.05</v>
      </c>
    </row>
    <row r="14" spans="1:4" ht="14.25">
      <c r="A14" s="68"/>
      <c r="B14" s="69"/>
      <c r="C14" s="69"/>
      <c r="D14" s="78"/>
    </row>
    <row r="15" spans="1:4" ht="14.25">
      <c r="A15" s="68" t="s">
        <v>235</v>
      </c>
      <c r="B15" s="69"/>
      <c r="C15" s="288">
        <f>C10-SUM(C12:C13)</f>
        <v>39.95</v>
      </c>
      <c r="D15" s="289">
        <f>D10-SUM(D12:D13)</f>
        <v>32.9</v>
      </c>
    </row>
    <row r="16" spans="1:4" ht="14.25">
      <c r="A16" s="68"/>
      <c r="B16" s="69"/>
      <c r="C16" s="69"/>
      <c r="D16" s="78"/>
    </row>
    <row r="17" spans="1:4" ht="14.25">
      <c r="A17" s="68" t="s">
        <v>236</v>
      </c>
      <c r="B17" s="69"/>
      <c r="C17" s="69"/>
      <c r="D17" s="78"/>
    </row>
    <row r="18" spans="1:4" ht="14.25">
      <c r="A18" s="68" t="s">
        <v>237</v>
      </c>
      <c r="B18" s="69"/>
      <c r="C18" s="69">
        <v>1972</v>
      </c>
      <c r="D18" s="78">
        <v>1974</v>
      </c>
    </row>
    <row r="19" spans="1:4" ht="14.25">
      <c r="A19" s="68" t="s">
        <v>238</v>
      </c>
      <c r="B19" s="69"/>
      <c r="C19" s="69">
        <v>2006</v>
      </c>
      <c r="D19" s="78">
        <v>1987</v>
      </c>
    </row>
    <row r="20" spans="1:4" ht="14.25">
      <c r="A20" s="68"/>
      <c r="B20" s="69"/>
      <c r="C20" s="69"/>
      <c r="D20" s="78"/>
    </row>
    <row r="21" spans="1:4" ht="14.25">
      <c r="A21" s="68" t="s">
        <v>239</v>
      </c>
      <c r="B21" s="69"/>
      <c r="C21" s="69">
        <f>C19-C18+1</f>
        <v>35</v>
      </c>
      <c r="D21" s="78">
        <f>D19-D18+1+1</f>
        <v>15</v>
      </c>
    </row>
    <row r="22" spans="1:4" ht="14.25">
      <c r="A22" s="68"/>
      <c r="B22" s="69"/>
      <c r="C22" s="69"/>
      <c r="D22" s="78"/>
    </row>
    <row r="23" spans="1:4" ht="15" thickBot="1">
      <c r="A23" s="73" t="s">
        <v>240</v>
      </c>
      <c r="B23" s="74"/>
      <c r="C23" s="357">
        <f>C21/C15</f>
        <v>0.8760951188986232</v>
      </c>
      <c r="D23" s="258">
        <f>D21/D15</f>
        <v>0.45592705167173253</v>
      </c>
    </row>
    <row r="27" spans="3:4" ht="14.25">
      <c r="C27" s="61">
        <v>801.25</v>
      </c>
      <c r="D27" s="61">
        <v>801.25</v>
      </c>
    </row>
    <row r="28" spans="3:4" ht="14.25">
      <c r="C28" s="61">
        <v>795.87</v>
      </c>
      <c r="D28" s="61">
        <v>274.52</v>
      </c>
    </row>
    <row r="30" spans="3:4" ht="14.25">
      <c r="C30" s="61">
        <f>C28/C27</f>
        <v>0.9932854914196568</v>
      </c>
      <c r="D30" s="61">
        <f>D28/D27</f>
        <v>0.34261466458658346</v>
      </c>
    </row>
    <row r="31" spans="3:4" ht="14.25">
      <c r="C31" s="61">
        <f>C32/B32</f>
        <v>0.998159724275243</v>
      </c>
      <c r="D31" s="61">
        <f>D33/C33</f>
        <v>0.10872582863382477</v>
      </c>
    </row>
    <row r="32" spans="2:3" ht="14.25">
      <c r="B32" s="62">
        <f>SUM(B37:B80)</f>
        <v>1592696.1164404324</v>
      </c>
      <c r="C32" s="62">
        <f>SUM(C37:C80)</f>
        <v>1589765.1164404324</v>
      </c>
    </row>
    <row r="33" spans="2:4" ht="14.25">
      <c r="B33" s="62"/>
      <c r="C33" s="62">
        <f>SUM(C43:C83)</f>
        <v>1284460.2037510104</v>
      </c>
      <c r="D33" s="62">
        <f>SUM(D37:D80)</f>
        <v>139654</v>
      </c>
    </row>
    <row r="34" spans="2:4" ht="14.25">
      <c r="B34" s="62"/>
      <c r="C34" s="62"/>
      <c r="D34" s="62"/>
    </row>
    <row r="35" spans="2:6" ht="14.25">
      <c r="B35" s="62"/>
      <c r="C35" s="62">
        <f>C58+SUM(C63:C84)</f>
        <v>482130</v>
      </c>
      <c r="D35" s="62">
        <f>D58+SUM(D63:D84)</f>
        <v>152722</v>
      </c>
      <c r="E35" s="61">
        <f>D35/C35</f>
        <v>0.31676518781241575</v>
      </c>
      <c r="F35" s="61">
        <f>E35*801.25</f>
        <v>253.80810673469813</v>
      </c>
    </row>
    <row r="37" spans="1:4" ht="14.25">
      <c r="A37" s="61">
        <f>1+A38</f>
        <v>2021</v>
      </c>
      <c r="B37" s="62">
        <f aca="true" t="shared" si="0" ref="B37:B51">B38*(1+$E$52)</f>
        <v>56421.49247922418</v>
      </c>
      <c r="C37" s="62">
        <f aca="true" t="shared" si="1" ref="C37:C51">B37</f>
        <v>56421.49247922418</v>
      </c>
      <c r="D37" s="62">
        <v>0</v>
      </c>
    </row>
    <row r="38" spans="1:4" ht="14.25">
      <c r="A38" s="61">
        <f>1+A39</f>
        <v>2020</v>
      </c>
      <c r="B38" s="62">
        <f t="shared" si="0"/>
        <v>55315.18870512174</v>
      </c>
      <c r="C38" s="62">
        <f t="shared" si="1"/>
        <v>55315.18870512174</v>
      </c>
      <c r="D38" s="62">
        <v>0</v>
      </c>
    </row>
    <row r="39" spans="1:4" ht="14.25">
      <c r="A39" s="61">
        <f>1+A40</f>
        <v>2019</v>
      </c>
      <c r="B39" s="62">
        <f t="shared" si="0"/>
        <v>54230.57716188406</v>
      </c>
      <c r="C39" s="62">
        <f t="shared" si="1"/>
        <v>54230.57716188406</v>
      </c>
      <c r="D39" s="62">
        <v>0</v>
      </c>
    </row>
    <row r="40" spans="1:4" ht="14.25">
      <c r="A40" s="61">
        <f aca="true" t="shared" si="2" ref="A40:A54">1+A41</f>
        <v>2018</v>
      </c>
      <c r="B40" s="62">
        <f t="shared" si="0"/>
        <v>53167.23251165104</v>
      </c>
      <c r="C40" s="62">
        <f t="shared" si="1"/>
        <v>53167.23251165104</v>
      </c>
      <c r="D40" s="62">
        <v>0</v>
      </c>
    </row>
    <row r="41" spans="1:4" ht="14.25">
      <c r="A41" s="61">
        <f t="shared" si="2"/>
        <v>2017</v>
      </c>
      <c r="B41" s="62">
        <f t="shared" si="0"/>
        <v>52124.737756520626</v>
      </c>
      <c r="C41" s="62">
        <f t="shared" si="1"/>
        <v>52124.737756520626</v>
      </c>
      <c r="D41" s="62">
        <v>0</v>
      </c>
    </row>
    <row r="42" spans="1:4" ht="14.25">
      <c r="A42" s="61">
        <f t="shared" si="2"/>
        <v>2016</v>
      </c>
      <c r="B42" s="62">
        <f t="shared" si="0"/>
        <v>51102.68407502022</v>
      </c>
      <c r="C42" s="62">
        <f t="shared" si="1"/>
        <v>51102.68407502022</v>
      </c>
      <c r="D42" s="62">
        <v>0</v>
      </c>
    </row>
    <row r="43" spans="1:4" ht="14.25">
      <c r="A43" s="61">
        <f t="shared" si="2"/>
        <v>2015</v>
      </c>
      <c r="B43" s="62">
        <f t="shared" si="0"/>
        <v>50100.67066178453</v>
      </c>
      <c r="C43" s="62">
        <f t="shared" si="1"/>
        <v>50100.67066178453</v>
      </c>
      <c r="D43" s="62">
        <v>0</v>
      </c>
    </row>
    <row r="44" spans="1:4" ht="14.25">
      <c r="A44" s="61">
        <f t="shared" si="2"/>
        <v>2014</v>
      </c>
      <c r="B44" s="62">
        <f t="shared" si="0"/>
        <v>49118.30457037699</v>
      </c>
      <c r="C44" s="62">
        <f t="shared" si="1"/>
        <v>49118.30457037699</v>
      </c>
      <c r="D44" s="62">
        <v>0</v>
      </c>
    </row>
    <row r="45" spans="1:4" ht="14.25">
      <c r="A45" s="61">
        <f t="shared" si="2"/>
        <v>2013</v>
      </c>
      <c r="B45" s="62">
        <f t="shared" si="0"/>
        <v>48155.20055919312</v>
      </c>
      <c r="C45" s="62">
        <f t="shared" si="1"/>
        <v>48155.20055919312</v>
      </c>
      <c r="D45" s="62">
        <v>0</v>
      </c>
    </row>
    <row r="46" spans="1:4" ht="14.25">
      <c r="A46" s="61">
        <f t="shared" si="2"/>
        <v>2012</v>
      </c>
      <c r="B46" s="62">
        <f t="shared" si="0"/>
        <v>47210.980940385416</v>
      </c>
      <c r="C46" s="62">
        <f t="shared" si="1"/>
        <v>47210.980940385416</v>
      </c>
      <c r="D46" s="62">
        <v>0</v>
      </c>
    </row>
    <row r="47" spans="1:4" ht="14.25">
      <c r="A47" s="61">
        <f t="shared" si="2"/>
        <v>2011</v>
      </c>
      <c r="B47" s="62">
        <f t="shared" si="0"/>
        <v>46285.27543175041</v>
      </c>
      <c r="C47" s="62">
        <f t="shared" si="1"/>
        <v>46285.27543175041</v>
      </c>
      <c r="D47" s="62">
        <v>0</v>
      </c>
    </row>
    <row r="48" spans="1:4" ht="14.25">
      <c r="A48" s="61">
        <f t="shared" si="2"/>
        <v>2010</v>
      </c>
      <c r="B48" s="62">
        <f t="shared" si="0"/>
        <v>45377.72101152001</v>
      </c>
      <c r="C48" s="62">
        <f t="shared" si="1"/>
        <v>45377.72101152001</v>
      </c>
      <c r="D48" s="62">
        <v>0</v>
      </c>
    </row>
    <row r="49" spans="1:4" ht="14.25">
      <c r="A49" s="61">
        <f t="shared" si="2"/>
        <v>2009</v>
      </c>
      <c r="B49" s="62">
        <f t="shared" si="0"/>
        <v>44487.961776000004</v>
      </c>
      <c r="C49" s="62">
        <f t="shared" si="1"/>
        <v>44487.961776000004</v>
      </c>
      <c r="D49" s="62">
        <v>0</v>
      </c>
    </row>
    <row r="50" spans="1:4" ht="14.25">
      <c r="A50" s="61">
        <f t="shared" si="2"/>
        <v>2008</v>
      </c>
      <c r="B50" s="62">
        <f t="shared" si="0"/>
        <v>43615.6488</v>
      </c>
      <c r="C50" s="62">
        <f t="shared" si="1"/>
        <v>43615.6488</v>
      </c>
      <c r="D50" s="62">
        <v>0</v>
      </c>
    </row>
    <row r="51" spans="1:4" ht="14.25">
      <c r="A51" s="61">
        <f t="shared" si="2"/>
        <v>2007</v>
      </c>
      <c r="B51" s="62">
        <f t="shared" si="0"/>
        <v>42760.44</v>
      </c>
      <c r="C51" s="62">
        <f t="shared" si="1"/>
        <v>42760.44</v>
      </c>
      <c r="D51" s="62">
        <v>0</v>
      </c>
    </row>
    <row r="52" spans="1:5" ht="14.25">
      <c r="A52" s="61">
        <f t="shared" si="2"/>
        <v>2006</v>
      </c>
      <c r="B52" s="62">
        <f>B53*(1+$E$52)</f>
        <v>41922</v>
      </c>
      <c r="C52" s="62">
        <f>B52</f>
        <v>41922</v>
      </c>
      <c r="D52" s="62">
        <v>0</v>
      </c>
      <c r="E52" s="291">
        <v>0.02</v>
      </c>
    </row>
    <row r="53" spans="1:5" ht="14.25">
      <c r="A53" s="61">
        <f t="shared" si="2"/>
        <v>2005</v>
      </c>
      <c r="B53" s="62">
        <v>41100</v>
      </c>
      <c r="C53" s="62">
        <v>41100</v>
      </c>
      <c r="D53" s="62">
        <v>0</v>
      </c>
      <c r="E53" s="61" t="s">
        <v>1</v>
      </c>
    </row>
    <row r="54" spans="1:4" ht="14.25">
      <c r="A54" s="61">
        <f t="shared" si="2"/>
        <v>2004</v>
      </c>
      <c r="B54" s="62">
        <v>40500</v>
      </c>
      <c r="C54" s="62">
        <v>40500</v>
      </c>
      <c r="D54" s="62">
        <v>0</v>
      </c>
    </row>
    <row r="55" spans="1:4" ht="14.25">
      <c r="A55" s="61">
        <f>1+A56</f>
        <v>2003</v>
      </c>
      <c r="B55" s="62">
        <v>39900</v>
      </c>
      <c r="C55" s="62">
        <v>39900</v>
      </c>
      <c r="D55" s="62">
        <v>0</v>
      </c>
    </row>
    <row r="56" spans="1:4" ht="14.25">
      <c r="A56" s="61">
        <f>1+A57</f>
        <v>2002</v>
      </c>
      <c r="B56" s="62">
        <v>39100</v>
      </c>
      <c r="C56" s="62">
        <v>39100</v>
      </c>
      <c r="D56" s="62">
        <v>0</v>
      </c>
    </row>
    <row r="57" spans="1:4" ht="14.25">
      <c r="A57" s="61">
        <f>1+A58</f>
        <v>2001</v>
      </c>
      <c r="B57" s="62">
        <v>38300</v>
      </c>
      <c r="C57" s="62">
        <v>38300</v>
      </c>
      <c r="D57" s="62">
        <v>0</v>
      </c>
    </row>
    <row r="58" spans="1:4" ht="14.25">
      <c r="A58" s="61">
        <f>1+A59</f>
        <v>2000</v>
      </c>
      <c r="B58" s="62">
        <v>37600</v>
      </c>
      <c r="C58" s="62">
        <v>37600</v>
      </c>
      <c r="D58" s="62">
        <v>4114</v>
      </c>
    </row>
    <row r="59" spans="1:4" ht="14.25">
      <c r="A59" s="61">
        <f>1+A60</f>
        <v>1999</v>
      </c>
      <c r="B59" s="62">
        <v>37400</v>
      </c>
      <c r="C59" s="62">
        <v>37400</v>
      </c>
      <c r="D59" s="62">
        <v>0</v>
      </c>
    </row>
    <row r="60" spans="1:4" ht="14.25">
      <c r="A60" s="61">
        <f aca="true" t="shared" si="3" ref="A60:A75">1+A61</f>
        <v>1998</v>
      </c>
      <c r="B60" s="62">
        <v>36900</v>
      </c>
      <c r="C60" s="62">
        <v>36900</v>
      </c>
      <c r="D60" s="62">
        <v>0</v>
      </c>
    </row>
    <row r="61" spans="1:4" ht="14.25">
      <c r="A61" s="61">
        <f t="shared" si="3"/>
        <v>1997</v>
      </c>
      <c r="B61" s="62">
        <v>35800</v>
      </c>
      <c r="C61" s="62">
        <v>35800</v>
      </c>
      <c r="D61" s="62">
        <v>0</v>
      </c>
    </row>
    <row r="62" spans="1:4" ht="14.25">
      <c r="A62" s="61">
        <f t="shared" si="3"/>
        <v>1996</v>
      </c>
      <c r="B62" s="62">
        <v>35400</v>
      </c>
      <c r="C62" s="62">
        <v>35400</v>
      </c>
      <c r="D62" s="62">
        <v>0</v>
      </c>
    </row>
    <row r="63" spans="1:4" ht="14.25">
      <c r="A63" s="61">
        <f t="shared" si="3"/>
        <v>1995</v>
      </c>
      <c r="B63" s="62">
        <v>34900</v>
      </c>
      <c r="C63" s="62">
        <v>34900</v>
      </c>
      <c r="D63" s="62">
        <v>0</v>
      </c>
    </row>
    <row r="64" spans="1:4" ht="14.25">
      <c r="A64" s="61">
        <f t="shared" si="3"/>
        <v>1994</v>
      </c>
      <c r="B64" s="62">
        <v>34400</v>
      </c>
      <c r="C64" s="62">
        <v>34400</v>
      </c>
      <c r="D64" s="62">
        <v>0</v>
      </c>
    </row>
    <row r="65" spans="1:4" ht="14.25">
      <c r="A65" s="61">
        <f t="shared" si="3"/>
        <v>1993</v>
      </c>
      <c r="B65" s="62">
        <v>33400</v>
      </c>
      <c r="C65" s="62">
        <v>33400</v>
      </c>
      <c r="D65" s="62">
        <v>0</v>
      </c>
    </row>
    <row r="66" spans="1:4" ht="14.25">
      <c r="A66" s="61">
        <f t="shared" si="3"/>
        <v>1992</v>
      </c>
      <c r="B66" s="62">
        <v>32200</v>
      </c>
      <c r="C66" s="62">
        <v>32200</v>
      </c>
      <c r="D66" s="62">
        <v>0</v>
      </c>
    </row>
    <row r="67" spans="1:4" ht="14.25">
      <c r="A67" s="61">
        <f t="shared" si="3"/>
        <v>1991</v>
      </c>
      <c r="B67" s="62">
        <v>30500</v>
      </c>
      <c r="C67" s="62">
        <v>30500</v>
      </c>
      <c r="D67" s="62">
        <v>0</v>
      </c>
    </row>
    <row r="68" spans="1:4" ht="14.25">
      <c r="A68" s="61">
        <f t="shared" si="3"/>
        <v>1990</v>
      </c>
      <c r="B68" s="62">
        <v>28900</v>
      </c>
      <c r="C68" s="62">
        <v>28900</v>
      </c>
      <c r="D68" s="62">
        <v>0</v>
      </c>
    </row>
    <row r="69" spans="1:4" ht="14.25">
      <c r="A69" s="61">
        <f t="shared" si="3"/>
        <v>1989</v>
      </c>
      <c r="B69" s="62">
        <v>27700</v>
      </c>
      <c r="C69" s="62">
        <v>27700</v>
      </c>
      <c r="D69" s="62">
        <v>0</v>
      </c>
    </row>
    <row r="70" spans="1:4" ht="14.25">
      <c r="A70" s="61">
        <f t="shared" si="3"/>
        <v>1988</v>
      </c>
      <c r="B70" s="62">
        <v>26500</v>
      </c>
      <c r="C70" s="62">
        <v>26500</v>
      </c>
      <c r="D70" s="62">
        <v>0</v>
      </c>
    </row>
    <row r="71" spans="1:4" ht="14.25">
      <c r="A71" s="61">
        <f t="shared" si="3"/>
        <v>1987</v>
      </c>
      <c r="B71" s="62">
        <v>25900</v>
      </c>
      <c r="C71" s="62">
        <v>25900</v>
      </c>
      <c r="D71" s="62">
        <v>22294</v>
      </c>
    </row>
    <row r="72" spans="1:4" ht="14.25">
      <c r="A72" s="61">
        <f t="shared" si="3"/>
        <v>1986</v>
      </c>
      <c r="B72" s="62">
        <v>25800</v>
      </c>
      <c r="C72" s="62">
        <v>25800</v>
      </c>
      <c r="D72" s="62">
        <v>10751</v>
      </c>
    </row>
    <row r="73" spans="1:4" ht="14.25">
      <c r="A73" s="61">
        <f t="shared" si="3"/>
        <v>1985</v>
      </c>
      <c r="B73" s="62">
        <v>23400</v>
      </c>
      <c r="C73" s="62">
        <v>23400</v>
      </c>
      <c r="D73" s="62">
        <v>19211</v>
      </c>
    </row>
    <row r="74" spans="1:4" ht="14.25">
      <c r="A74" s="61">
        <f t="shared" si="3"/>
        <v>1984</v>
      </c>
      <c r="B74" s="62">
        <v>20800</v>
      </c>
      <c r="C74" s="62">
        <v>20800</v>
      </c>
      <c r="D74" s="62">
        <v>20468</v>
      </c>
    </row>
    <row r="75" spans="1:4" ht="14.25">
      <c r="A75" s="61">
        <f t="shared" si="3"/>
        <v>1983</v>
      </c>
      <c r="B75" s="62">
        <v>18500</v>
      </c>
      <c r="C75" s="62">
        <v>18500</v>
      </c>
      <c r="D75" s="62">
        <v>18500</v>
      </c>
    </row>
    <row r="76" spans="1:4" ht="14.25">
      <c r="A76" s="61">
        <f aca="true" t="shared" si="4" ref="A76:A90">1+A77</f>
        <v>1982</v>
      </c>
      <c r="B76" s="62">
        <v>16500</v>
      </c>
      <c r="C76" s="62">
        <v>16500</v>
      </c>
      <c r="D76" s="62">
        <v>16500</v>
      </c>
    </row>
    <row r="77" spans="1:4" ht="14.25">
      <c r="A77" s="61">
        <f t="shared" si="4"/>
        <v>1981</v>
      </c>
      <c r="B77" s="62">
        <v>14700</v>
      </c>
      <c r="C77" s="62">
        <v>14700</v>
      </c>
      <c r="D77" s="62">
        <v>12179</v>
      </c>
    </row>
    <row r="78" spans="1:4" ht="14.25">
      <c r="A78" s="61">
        <f t="shared" si="4"/>
        <v>1980</v>
      </c>
      <c r="B78" s="62">
        <v>13100</v>
      </c>
      <c r="C78" s="62">
        <v>13100</v>
      </c>
      <c r="D78" s="62">
        <v>9797</v>
      </c>
    </row>
    <row r="79" spans="1:5" ht="14.25">
      <c r="A79" s="61">
        <f t="shared" si="4"/>
        <v>1979</v>
      </c>
      <c r="B79" s="62">
        <v>11700</v>
      </c>
      <c r="C79" s="62">
        <v>11700</v>
      </c>
      <c r="D79" s="62">
        <v>4000</v>
      </c>
      <c r="E79" s="61" t="s">
        <v>1</v>
      </c>
    </row>
    <row r="80" spans="1:5" ht="14.25">
      <c r="A80" s="61">
        <f t="shared" si="4"/>
        <v>1978</v>
      </c>
      <c r="B80" s="62">
        <v>10400</v>
      </c>
      <c r="C80" s="62">
        <v>7469</v>
      </c>
      <c r="D80" s="62">
        <v>1840</v>
      </c>
      <c r="E80" s="61" t="s">
        <v>1</v>
      </c>
    </row>
    <row r="81" spans="1:5" ht="14.25">
      <c r="A81" s="61">
        <f t="shared" si="4"/>
        <v>1977</v>
      </c>
      <c r="B81" s="62">
        <v>9300</v>
      </c>
      <c r="C81" s="62">
        <v>7436</v>
      </c>
      <c r="D81" s="62">
        <v>7959</v>
      </c>
      <c r="E81" s="61" t="s">
        <v>1</v>
      </c>
    </row>
    <row r="82" spans="1:5" ht="14.25">
      <c r="A82" s="61">
        <f t="shared" si="4"/>
        <v>1976</v>
      </c>
      <c r="B82" s="62">
        <v>8300</v>
      </c>
      <c r="C82" s="62">
        <v>4280</v>
      </c>
      <c r="D82" s="62">
        <v>3201</v>
      </c>
      <c r="E82" s="61" t="s">
        <v>1</v>
      </c>
    </row>
    <row r="83" spans="1:5" ht="14.25">
      <c r="A83" s="61">
        <f t="shared" si="4"/>
        <v>1975</v>
      </c>
      <c r="B83" s="62">
        <v>7400</v>
      </c>
      <c r="C83" s="62">
        <v>5341</v>
      </c>
      <c r="D83" s="62">
        <v>0</v>
      </c>
      <c r="E83" s="61" t="s">
        <v>1</v>
      </c>
    </row>
    <row r="84" spans="1:5" ht="14.25">
      <c r="A84" s="61">
        <f t="shared" si="4"/>
        <v>1974</v>
      </c>
      <c r="B84" s="62">
        <v>6600</v>
      </c>
      <c r="C84" s="62">
        <v>1104</v>
      </c>
      <c r="D84" s="62">
        <v>1908</v>
      </c>
      <c r="E84" s="61" t="s">
        <v>1</v>
      </c>
    </row>
    <row r="85" spans="1:4" ht="14.25">
      <c r="A85" s="61">
        <f t="shared" si="4"/>
        <v>1973</v>
      </c>
      <c r="B85" s="62">
        <v>5600</v>
      </c>
      <c r="C85" s="62">
        <v>4280</v>
      </c>
      <c r="D85" s="290"/>
    </row>
    <row r="86" spans="1:4" ht="14.25">
      <c r="A86" s="61">
        <f t="shared" si="4"/>
        <v>1972</v>
      </c>
      <c r="B86" s="62">
        <v>5500</v>
      </c>
      <c r="C86" s="62">
        <v>683</v>
      </c>
      <c r="D86" s="290"/>
    </row>
    <row r="87" spans="1:4" ht="14.25">
      <c r="A87" s="61">
        <f t="shared" si="4"/>
        <v>1971</v>
      </c>
      <c r="B87" s="62">
        <v>5400</v>
      </c>
      <c r="C87" s="290"/>
      <c r="D87" s="290"/>
    </row>
    <row r="88" spans="1:4" ht="14.25">
      <c r="A88" s="61">
        <f t="shared" si="4"/>
        <v>1970</v>
      </c>
      <c r="B88" s="62">
        <v>5300</v>
      </c>
      <c r="C88" s="290"/>
      <c r="D88" s="290"/>
    </row>
    <row r="89" spans="1:4" ht="14.25">
      <c r="A89" s="61">
        <f t="shared" si="4"/>
        <v>1969</v>
      </c>
      <c r="B89" s="62">
        <v>5200</v>
      </c>
      <c r="C89" s="290"/>
      <c r="D89" s="290"/>
    </row>
    <row r="90" spans="1:4" ht="14.25">
      <c r="A90" s="61">
        <f t="shared" si="4"/>
        <v>1968</v>
      </c>
      <c r="B90" s="62">
        <v>5100</v>
      </c>
      <c r="C90" s="290"/>
      <c r="D90" s="290"/>
    </row>
    <row r="91" spans="1:4" ht="14.25">
      <c r="A91" s="61">
        <f>1+A92</f>
        <v>1967</v>
      </c>
      <c r="B91" s="62">
        <v>5000</v>
      </c>
      <c r="C91" s="290"/>
      <c r="D91" s="290"/>
    </row>
    <row r="92" spans="1:4" ht="14.25">
      <c r="A92" s="61">
        <v>1966</v>
      </c>
      <c r="B92" s="62">
        <v>5000</v>
      </c>
      <c r="C92" s="290"/>
      <c r="D92" s="290"/>
    </row>
    <row r="93" spans="2:4" ht="15" thickBot="1">
      <c r="B93" s="62"/>
      <c r="C93" s="62"/>
      <c r="D93" s="62"/>
    </row>
    <row r="94" spans="1:4" ht="14.25">
      <c r="A94" s="64">
        <v>60</v>
      </c>
      <c r="B94" s="292">
        <v>0.7</v>
      </c>
      <c r="C94" s="293"/>
      <c r="D94" s="237"/>
    </row>
    <row r="95" spans="1:4" ht="14.25">
      <c r="A95" s="68">
        <f>1+A94</f>
        <v>61</v>
      </c>
      <c r="B95" s="120">
        <f>B94*(1+$E$52)+0.7</f>
        <v>1.414</v>
      </c>
      <c r="C95" s="236"/>
      <c r="D95" s="202"/>
    </row>
    <row r="96" spans="1:4" ht="14.25">
      <c r="A96" s="68">
        <f aca="true" t="shared" si="5" ref="A96:A108">1+A95</f>
        <v>62</v>
      </c>
      <c r="B96" s="120">
        <f aca="true" t="shared" si="6" ref="B96:B108">B95*(1+$E$52)+0.7</f>
        <v>2.14228</v>
      </c>
      <c r="C96" s="236"/>
      <c r="D96" s="202"/>
    </row>
    <row r="97" spans="1:4" ht="14.25">
      <c r="A97" s="68">
        <f t="shared" si="5"/>
        <v>63</v>
      </c>
      <c r="B97" s="120">
        <f t="shared" si="6"/>
        <v>2.8851256000000003</v>
      </c>
      <c r="C97" s="236"/>
      <c r="D97" s="202"/>
    </row>
    <row r="98" spans="1:4" ht="14.25">
      <c r="A98" s="68">
        <f t="shared" si="5"/>
        <v>64</v>
      </c>
      <c r="B98" s="120">
        <f t="shared" si="6"/>
        <v>3.642828112</v>
      </c>
      <c r="C98" s="236"/>
      <c r="D98" s="202"/>
    </row>
    <row r="99" spans="1:4" ht="14.25">
      <c r="A99" s="68">
        <f t="shared" si="5"/>
        <v>65</v>
      </c>
      <c r="B99" s="120">
        <f t="shared" si="6"/>
        <v>4.41568467424</v>
      </c>
      <c r="C99" s="120">
        <v>1</v>
      </c>
      <c r="D99" s="202"/>
    </row>
    <row r="100" spans="1:4" ht="14.25">
      <c r="A100" s="68">
        <f t="shared" si="5"/>
        <v>66</v>
      </c>
      <c r="B100" s="120">
        <f t="shared" si="6"/>
        <v>5.2039983677248</v>
      </c>
      <c r="C100" s="120">
        <f>C99*(1+$E$52)+1</f>
        <v>2.02</v>
      </c>
      <c r="D100" s="202"/>
    </row>
    <row r="101" spans="1:4" ht="14.25">
      <c r="A101" s="68">
        <f t="shared" si="5"/>
        <v>67</v>
      </c>
      <c r="B101" s="120">
        <f t="shared" si="6"/>
        <v>6.008078335079297</v>
      </c>
      <c r="C101" s="120">
        <f aca="true" t="shared" si="7" ref="C101:C108">C100*(1+$E$52)+1</f>
        <v>3.0604</v>
      </c>
      <c r="D101" s="202"/>
    </row>
    <row r="102" spans="1:4" ht="14.25">
      <c r="A102" s="68">
        <f t="shared" si="5"/>
        <v>68</v>
      </c>
      <c r="B102" s="120">
        <f t="shared" si="6"/>
        <v>6.828239901780883</v>
      </c>
      <c r="C102" s="120">
        <f t="shared" si="7"/>
        <v>4.121608</v>
      </c>
      <c r="D102" s="202"/>
    </row>
    <row r="103" spans="1:4" ht="14.25">
      <c r="A103" s="68">
        <f t="shared" si="5"/>
        <v>69</v>
      </c>
      <c r="B103" s="120">
        <f t="shared" si="6"/>
        <v>7.664804699816501</v>
      </c>
      <c r="C103" s="120">
        <f t="shared" si="7"/>
        <v>5.20404016</v>
      </c>
      <c r="D103" s="202"/>
    </row>
    <row r="104" spans="1:4" ht="14.25">
      <c r="A104" s="68">
        <f t="shared" si="5"/>
        <v>70</v>
      </c>
      <c r="B104" s="120">
        <f t="shared" si="6"/>
        <v>8.518100793812831</v>
      </c>
      <c r="C104" s="120">
        <f t="shared" si="7"/>
        <v>6.3081209632</v>
      </c>
      <c r="D104" s="202"/>
    </row>
    <row r="105" spans="1:4" ht="14.25">
      <c r="A105" s="68">
        <f t="shared" si="5"/>
        <v>71</v>
      </c>
      <c r="B105" s="120">
        <f t="shared" si="6"/>
        <v>9.388462809689088</v>
      </c>
      <c r="C105" s="120">
        <f t="shared" si="7"/>
        <v>7.434283382464001</v>
      </c>
      <c r="D105" s="202"/>
    </row>
    <row r="106" spans="1:4" ht="14.25">
      <c r="A106" s="68">
        <f t="shared" si="5"/>
        <v>72</v>
      </c>
      <c r="B106" s="120">
        <f t="shared" si="6"/>
        <v>10.27623206588287</v>
      </c>
      <c r="C106" s="120">
        <f t="shared" si="7"/>
        <v>8.582969050113281</v>
      </c>
      <c r="D106" s="202"/>
    </row>
    <row r="107" spans="1:4" ht="14.25">
      <c r="A107" s="68">
        <f t="shared" si="5"/>
        <v>73</v>
      </c>
      <c r="B107" s="120">
        <f t="shared" si="6"/>
        <v>11.181756707200526</v>
      </c>
      <c r="C107" s="120">
        <f t="shared" si="7"/>
        <v>9.754628431115547</v>
      </c>
      <c r="D107" s="202"/>
    </row>
    <row r="108" spans="1:4" ht="14.25">
      <c r="A108" s="68">
        <f t="shared" si="5"/>
        <v>74</v>
      </c>
      <c r="B108" s="120">
        <f t="shared" si="6"/>
        <v>12.105391841344536</v>
      </c>
      <c r="C108" s="120">
        <f t="shared" si="7"/>
        <v>10.949720999737858</v>
      </c>
      <c r="D108" s="78"/>
    </row>
    <row r="109" spans="1:4" ht="14.25">
      <c r="A109" s="68">
        <f aca="true" t="shared" si="8" ref="A109:A116">1+A108</f>
        <v>75</v>
      </c>
      <c r="B109" s="120">
        <f aca="true" t="shared" si="9" ref="B109:B116">B108*(1+$E$52)+0.7</f>
        <v>13.047499678171427</v>
      </c>
      <c r="C109" s="120">
        <f aca="true" t="shared" si="10" ref="C109:C116">C108*(1+$E$52)+1</f>
        <v>12.168715419732616</v>
      </c>
      <c r="D109" s="78"/>
    </row>
    <row r="110" spans="1:4" ht="14.25">
      <c r="A110" s="68">
        <f t="shared" si="8"/>
        <v>76</v>
      </c>
      <c r="B110" s="120">
        <f t="shared" si="9"/>
        <v>14.008449671734855</v>
      </c>
      <c r="C110" s="120">
        <f t="shared" si="10"/>
        <v>13.412089728127269</v>
      </c>
      <c r="D110" s="78"/>
    </row>
    <row r="111" spans="1:4" ht="14.25">
      <c r="A111" s="68">
        <f t="shared" si="8"/>
        <v>77</v>
      </c>
      <c r="B111" s="120">
        <f t="shared" si="9"/>
        <v>14.988618665169552</v>
      </c>
      <c r="C111" s="120">
        <f t="shared" si="10"/>
        <v>14.680331522689814</v>
      </c>
      <c r="D111" s="78"/>
    </row>
    <row r="112" spans="1:4" ht="14.25">
      <c r="A112" s="68">
        <f t="shared" si="8"/>
        <v>78</v>
      </c>
      <c r="B112" s="120">
        <f t="shared" si="9"/>
        <v>15.988391038472942</v>
      </c>
      <c r="C112" s="120">
        <f t="shared" si="10"/>
        <v>15.97393815314361</v>
      </c>
      <c r="D112" s="78"/>
    </row>
    <row r="113" spans="1:4" ht="14.25">
      <c r="A113" s="68">
        <f t="shared" si="8"/>
        <v>79</v>
      </c>
      <c r="B113" s="120">
        <f t="shared" si="9"/>
        <v>17.0081588592424</v>
      </c>
      <c r="C113" s="120">
        <f t="shared" si="10"/>
        <v>17.293416916206482</v>
      </c>
      <c r="D113" s="78"/>
    </row>
    <row r="114" spans="1:4" ht="14.25">
      <c r="A114" s="68">
        <f t="shared" si="8"/>
        <v>80</v>
      </c>
      <c r="B114" s="120">
        <f t="shared" si="9"/>
        <v>18.048322036427248</v>
      </c>
      <c r="C114" s="120">
        <f t="shared" si="10"/>
        <v>18.639285254530613</v>
      </c>
      <c r="D114" s="78"/>
    </row>
    <row r="115" spans="1:4" ht="14.25">
      <c r="A115" s="68">
        <f t="shared" si="8"/>
        <v>81</v>
      </c>
      <c r="B115" s="120">
        <f t="shared" si="9"/>
        <v>19.109288477155793</v>
      </c>
      <c r="C115" s="120">
        <f t="shared" si="10"/>
        <v>20.012070959621227</v>
      </c>
      <c r="D115" s="78"/>
    </row>
    <row r="116" spans="1:4" ht="14.25">
      <c r="A116" s="68">
        <f t="shared" si="8"/>
        <v>82</v>
      </c>
      <c r="B116" s="120">
        <f t="shared" si="9"/>
        <v>20.19147424669891</v>
      </c>
      <c r="C116" s="120">
        <f t="shared" si="10"/>
        <v>21.412312378813652</v>
      </c>
      <c r="D116" s="78"/>
    </row>
    <row r="117" spans="1:4" ht="14.25">
      <c r="A117" s="68">
        <f>1+A116</f>
        <v>83</v>
      </c>
      <c r="B117" s="120">
        <f>B116*(1+$E$52)+0.7</f>
        <v>21.295303731632888</v>
      </c>
      <c r="C117" s="120">
        <f>C116*(1+$E$52)+1</f>
        <v>22.840558626389925</v>
      </c>
      <c r="D117" s="78"/>
    </row>
    <row r="118" spans="1:4" ht="14.25">
      <c r="A118" s="68">
        <f>1+A117</f>
        <v>84</v>
      </c>
      <c r="B118" s="120">
        <f>B117*(1+$E$52)+0.7</f>
        <v>22.421209806265544</v>
      </c>
      <c r="C118" s="120">
        <f>C117*(1+$E$52)+1</f>
        <v>24.297369798917725</v>
      </c>
      <c r="D118" s="78"/>
    </row>
    <row r="119" spans="1:4" ht="15" thickBot="1">
      <c r="A119" s="73">
        <f>1+A118</f>
        <v>85</v>
      </c>
      <c r="B119" s="294">
        <f>B118*(1+$E$52)+0.7</f>
        <v>23.569634002390856</v>
      </c>
      <c r="C119" s="294">
        <f>C118*(1+$E$52)+1</f>
        <v>25.783317194896078</v>
      </c>
      <c r="D119" s="200"/>
    </row>
  </sheetData>
  <printOptions gridLines="1" horizontalCentered="1" verticalCentered="1"/>
  <pageMargins left="0.75" right="0.75" top="1" bottom="1" header="0.5" footer="0.5"/>
  <pageSetup orientation="portrait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9">
      <selection activeCell="B29" sqref="B29"/>
    </sheetView>
  </sheetViews>
  <sheetFormatPr defaultColWidth="9.140625" defaultRowHeight="12.75"/>
  <cols>
    <col min="1" max="1" width="28.00390625" style="61" customWidth="1"/>
    <col min="2" max="2" width="12.140625" style="61" customWidth="1"/>
    <col min="3" max="3" width="15.00390625" style="61" customWidth="1"/>
    <col min="4" max="16384" width="9.140625" style="61" customWidth="1"/>
  </cols>
  <sheetData>
    <row r="1" spans="1:3" ht="20.25">
      <c r="A1" s="330" t="s">
        <v>247</v>
      </c>
      <c r="B1" s="331"/>
      <c r="C1" s="332"/>
    </row>
    <row r="2" spans="1:3" ht="15.75" thickBot="1">
      <c r="A2" s="233" t="s">
        <v>1</v>
      </c>
      <c r="B2" s="234"/>
      <c r="C2" s="235"/>
    </row>
    <row r="3" spans="1:3" ht="9" customHeight="1" thickBot="1">
      <c r="A3" s="68"/>
      <c r="B3" s="69"/>
      <c r="C3" s="78"/>
    </row>
    <row r="4" spans="1:3" ht="15.75" thickBot="1">
      <c r="A4" s="238" t="s">
        <v>221</v>
      </c>
      <c r="B4" s="327" t="s">
        <v>210</v>
      </c>
      <c r="C4" s="327" t="s">
        <v>118</v>
      </c>
    </row>
    <row r="5" spans="1:3" ht="9" customHeight="1" thickBot="1">
      <c r="A5" s="68"/>
      <c r="B5" s="311"/>
      <c r="C5" s="311"/>
    </row>
    <row r="6" spans="1:3" ht="15">
      <c r="A6" s="89" t="s">
        <v>222</v>
      </c>
      <c r="B6" s="310"/>
      <c r="C6" s="310"/>
    </row>
    <row r="7" spans="1:3" ht="9" customHeight="1">
      <c r="A7" s="68"/>
      <c r="B7" s="311"/>
      <c r="C7" s="311"/>
    </row>
    <row r="8" spans="1:3" ht="14.25">
      <c r="A8" s="68" t="str">
        <f>'Financial Assessment'!B10</f>
        <v>Bill</v>
      </c>
      <c r="B8" s="312">
        <v>113300</v>
      </c>
      <c r="C8" s="312">
        <f>B8/12</f>
        <v>9441.666666666666</v>
      </c>
    </row>
    <row r="9" spans="1:3" ht="14.25">
      <c r="A9" s="68" t="str">
        <f>'Financial Assessment'!B15</f>
        <v>Jane</v>
      </c>
      <c r="B9" s="312" t="e">
        <f>#REF!</f>
        <v>#REF!</v>
      </c>
      <c r="C9" s="312" t="e">
        <f>B9/12</f>
        <v>#REF!</v>
      </c>
    </row>
    <row r="10" spans="1:3" ht="9" customHeight="1" thickBot="1">
      <c r="A10" s="68"/>
      <c r="B10" s="311"/>
      <c r="C10" s="312"/>
    </row>
    <row r="11" spans="1:3" ht="15">
      <c r="A11" s="89" t="s">
        <v>226</v>
      </c>
      <c r="B11" s="310"/>
      <c r="C11" s="329"/>
    </row>
    <row r="12" spans="1:3" ht="14.25">
      <c r="A12" s="68"/>
      <c r="B12" s="311"/>
      <c r="C12" s="312"/>
    </row>
    <row r="13" spans="1:3" ht="14.25">
      <c r="A13" s="68" t="str">
        <f>'Financial Assessment'!B10</f>
        <v>Bill</v>
      </c>
      <c r="B13" s="312">
        <f>'Taxable Income - Bill'!I6</f>
        <v>0</v>
      </c>
      <c r="C13" s="312">
        <f>B13/12</f>
        <v>0</v>
      </c>
    </row>
    <row r="14" spans="1:3" ht="14.25">
      <c r="A14" s="68" t="str">
        <f>'Financial Assessment'!B15</f>
        <v>Jane</v>
      </c>
      <c r="B14" s="312" t="e">
        <f>#REF!</f>
        <v>#REF!</v>
      </c>
      <c r="C14" s="312" t="e">
        <f>B14/12</f>
        <v>#REF!</v>
      </c>
    </row>
    <row r="15" spans="1:3" ht="9" customHeight="1" thickBot="1">
      <c r="A15" s="68"/>
      <c r="B15" s="311"/>
      <c r="C15" s="312"/>
    </row>
    <row r="16" spans="1:3" ht="15">
      <c r="A16" s="89" t="s">
        <v>223</v>
      </c>
      <c r="B16" s="310"/>
      <c r="C16" s="329"/>
    </row>
    <row r="17" spans="1:3" ht="9" customHeight="1">
      <c r="A17" s="68"/>
      <c r="B17" s="311"/>
      <c r="C17" s="312"/>
    </row>
    <row r="18" spans="1:3" ht="14.25">
      <c r="A18" s="68" t="str">
        <f>'Financial Assessment'!B10</f>
        <v>Bill</v>
      </c>
      <c r="B18" s="312">
        <f>'Taxable Income - Bill'!F6</f>
        <v>8684.742</v>
      </c>
      <c r="C18" s="312">
        <f>B18/12</f>
        <v>723.7285</v>
      </c>
    </row>
    <row r="19" spans="1:3" ht="14.25">
      <c r="A19" s="68" t="str">
        <f>'Financial Assessment'!B15</f>
        <v>Jane</v>
      </c>
      <c r="B19" s="312" t="e">
        <f>#REF!</f>
        <v>#REF!</v>
      </c>
      <c r="C19" s="312" t="e">
        <f>B19/12</f>
        <v>#REF!</v>
      </c>
    </row>
    <row r="20" spans="1:3" ht="9" customHeight="1" thickBot="1">
      <c r="A20" s="68"/>
      <c r="B20" s="311"/>
      <c r="C20" s="312"/>
    </row>
    <row r="21" spans="1:3" ht="15">
      <c r="A21" s="89" t="s">
        <v>224</v>
      </c>
      <c r="B21" s="310"/>
      <c r="C21" s="329"/>
    </row>
    <row r="22" spans="1:3" ht="9" customHeight="1">
      <c r="A22" s="68"/>
      <c r="B22" s="311"/>
      <c r="C22" s="312"/>
    </row>
    <row r="23" spans="1:3" ht="14.25">
      <c r="A23" s="68" t="str">
        <f>'Financial Assessment'!B10</f>
        <v>Bill</v>
      </c>
      <c r="B23" s="312">
        <f>'Taxable Income - Bill'!E6</f>
        <v>20000</v>
      </c>
      <c r="C23" s="312">
        <f>B23/12</f>
        <v>1666.6666666666667</v>
      </c>
    </row>
    <row r="24" spans="1:3" ht="15" thickBot="1">
      <c r="A24" s="68" t="str">
        <f>'Financial Assessment'!B15</f>
        <v>Jane</v>
      </c>
      <c r="B24" s="312">
        <v>0</v>
      </c>
      <c r="C24" s="312">
        <f>B24/12</f>
        <v>0</v>
      </c>
    </row>
    <row r="25" spans="1:3" ht="9" customHeight="1">
      <c r="A25" s="64"/>
      <c r="B25" s="310"/>
      <c r="C25" s="329"/>
    </row>
    <row r="26" spans="1:3" ht="15">
      <c r="A26" s="91" t="s">
        <v>187</v>
      </c>
      <c r="B26" s="312"/>
      <c r="C26" s="312"/>
    </row>
    <row r="27" spans="1:3" ht="9" customHeight="1">
      <c r="A27" s="68" t="s">
        <v>214</v>
      </c>
      <c r="B27" s="311"/>
      <c r="C27" s="312"/>
    </row>
    <row r="28" spans="1:3" ht="15" thickBot="1">
      <c r="A28" s="73" t="s">
        <v>256</v>
      </c>
      <c r="B28" s="328">
        <v>0</v>
      </c>
      <c r="C28" s="328"/>
    </row>
  </sheetData>
  <printOptions horizontalCentered="1" verticalCentered="1"/>
  <pageMargins left="0.75" right="0.75" top="1" bottom="1" header="0.5" footer="0.5"/>
  <pageSetup orientation="portrait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1"/>
  <sheetViews>
    <sheetView workbookViewId="0" topLeftCell="A1">
      <selection activeCell="D24" sqref="D24"/>
    </sheetView>
  </sheetViews>
  <sheetFormatPr defaultColWidth="9.140625" defaultRowHeight="12.75"/>
  <cols>
    <col min="1" max="1" width="6.7109375" style="5" customWidth="1"/>
    <col min="2" max="2" width="7.421875" style="5" customWidth="1"/>
    <col min="3" max="3" width="11.421875" style="1" customWidth="1"/>
    <col min="4" max="4" width="13.140625" style="1" bestFit="1" customWidth="1"/>
    <col min="5" max="5" width="11.421875" style="1" customWidth="1"/>
    <col min="6" max="6" width="13.140625" style="1" bestFit="1" customWidth="1"/>
    <col min="7" max="7" width="12.7109375" style="1" customWidth="1"/>
    <col min="8" max="8" width="15.00390625" style="1" hidden="1" customWidth="1"/>
    <col min="9" max="9" width="16.57421875" style="1" customWidth="1"/>
    <col min="10" max="10" width="20.00390625" style="1" customWidth="1"/>
    <col min="11" max="11" width="14.28125" style="1" bestFit="1" customWidth="1"/>
    <col min="12" max="12" width="11.57421875" style="1" bestFit="1" customWidth="1"/>
    <col min="13" max="16384" width="9.140625" style="1" customWidth="1"/>
  </cols>
  <sheetData>
    <row r="1" spans="1:10" s="395" customFormat="1" ht="21" thickBot="1">
      <c r="A1" s="428" t="s">
        <v>294</v>
      </c>
      <c r="B1" s="429"/>
      <c r="C1" s="429"/>
      <c r="D1" s="429"/>
      <c r="E1" s="429"/>
      <c r="F1" s="429"/>
      <c r="G1" s="429"/>
      <c r="H1" s="429"/>
      <c r="I1" s="429"/>
      <c r="J1" s="430"/>
    </row>
    <row r="2" spans="1:10" ht="9" customHeight="1" thickBot="1">
      <c r="A2" s="631"/>
      <c r="B2" s="624"/>
      <c r="C2" s="624"/>
      <c r="D2" s="624"/>
      <c r="E2" s="624"/>
      <c r="F2" s="624"/>
      <c r="G2" s="624"/>
      <c r="H2" s="624"/>
      <c r="I2" s="624"/>
      <c r="J2" s="630"/>
    </row>
    <row r="3" spans="1:10" s="5" customFormat="1" ht="15.75" customHeight="1">
      <c r="A3" s="521"/>
      <c r="B3" s="522"/>
      <c r="C3" s="611" t="s">
        <v>285</v>
      </c>
      <c r="D3" s="535"/>
      <c r="E3" s="612" t="s">
        <v>278</v>
      </c>
      <c r="F3" s="613"/>
      <c r="G3" s="634" t="s">
        <v>21</v>
      </c>
      <c r="H3" s="632" t="s">
        <v>291</v>
      </c>
      <c r="I3" s="636" t="s">
        <v>314</v>
      </c>
      <c r="J3" s="634" t="s">
        <v>313</v>
      </c>
    </row>
    <row r="4" spans="1:10" s="5" customFormat="1" ht="35.25" customHeight="1" thickBot="1">
      <c r="A4" s="523" t="s">
        <v>23</v>
      </c>
      <c r="B4" s="524" t="s">
        <v>24</v>
      </c>
      <c r="C4" s="614" t="s">
        <v>290</v>
      </c>
      <c r="D4" s="588" t="s">
        <v>289</v>
      </c>
      <c r="E4" s="614" t="s">
        <v>290</v>
      </c>
      <c r="F4" s="589" t="s">
        <v>289</v>
      </c>
      <c r="G4" s="635"/>
      <c r="H4" s="633"/>
      <c r="I4" s="637"/>
      <c r="J4" s="638"/>
    </row>
    <row r="5" spans="1:10" ht="15">
      <c r="A5" s="58"/>
      <c r="B5" s="31"/>
      <c r="C5" s="20"/>
      <c r="D5" s="21"/>
      <c r="E5" s="20"/>
      <c r="F5" s="99"/>
      <c r="G5" s="36"/>
      <c r="H5" s="20"/>
      <c r="I5" s="21"/>
      <c r="J5" s="36"/>
    </row>
    <row r="6" spans="1:15" ht="15">
      <c r="A6" s="58">
        <v>2009</v>
      </c>
      <c r="B6" s="333">
        <v>54</v>
      </c>
      <c r="C6" s="172">
        <v>51596.78081014555</v>
      </c>
      <c r="D6" s="53">
        <v>375</v>
      </c>
      <c r="E6" s="172">
        <v>11333.75</v>
      </c>
      <c r="F6" s="54">
        <v>168.75</v>
      </c>
      <c r="G6" s="275">
        <v>63474.28081014555</v>
      </c>
      <c r="H6" s="172">
        <v>60680</v>
      </c>
      <c r="I6" s="53">
        <v>62588.09219834878</v>
      </c>
      <c r="J6" s="275">
        <v>-1908.0921983487788</v>
      </c>
      <c r="K6" s="7"/>
      <c r="L6" s="7"/>
      <c r="M6" s="4"/>
      <c r="N6" s="4"/>
      <c r="O6" s="4"/>
    </row>
    <row r="7" spans="1:15" ht="15">
      <c r="A7" s="58">
        <v>2010</v>
      </c>
      <c r="B7" s="333">
        <v>55</v>
      </c>
      <c r="C7" s="172">
        <v>52706.51078795478</v>
      </c>
      <c r="D7" s="53">
        <v>353.2857712809604</v>
      </c>
      <c r="E7" s="172">
        <v>11621.528124999999</v>
      </c>
      <c r="F7" s="54">
        <v>175.078125</v>
      </c>
      <c r="G7" s="275">
        <v>64856.40280923574</v>
      </c>
      <c r="H7" s="172">
        <v>62172.5</v>
      </c>
      <c r="I7" s="53">
        <v>63937.664751028795</v>
      </c>
      <c r="J7" s="275">
        <v>-1765.1647510288021</v>
      </c>
      <c r="K7" s="7"/>
      <c r="L7" s="7"/>
      <c r="M7" s="4"/>
      <c r="N7" s="4"/>
      <c r="O7" s="4"/>
    </row>
    <row r="8" spans="1:15" ht="15">
      <c r="A8" s="58">
        <v>2011</v>
      </c>
      <c r="B8" s="333">
        <v>56</v>
      </c>
      <c r="C8" s="172">
        <v>54008.47935374277</v>
      </c>
      <c r="D8" s="53">
        <v>333.43714862220634</v>
      </c>
      <c r="E8" s="172">
        <v>11916.649554687496</v>
      </c>
      <c r="F8" s="54">
        <v>181.6435546875</v>
      </c>
      <c r="G8" s="275">
        <v>66440.20961173998</v>
      </c>
      <c r="H8" s="172">
        <v>63726.812499999985</v>
      </c>
      <c r="I8" s="53">
        <v>65387.47874185039</v>
      </c>
      <c r="J8" s="275">
        <v>-1660.6662418504056</v>
      </c>
      <c r="K8" s="7"/>
      <c r="L8" s="7"/>
      <c r="M8" s="4"/>
      <c r="N8" s="4"/>
      <c r="O8" s="4"/>
    </row>
    <row r="9" spans="1:15" ht="15">
      <c r="A9" s="58">
        <v>2012</v>
      </c>
      <c r="B9" s="333">
        <v>57</v>
      </c>
      <c r="C9" s="172">
        <v>55344.954204733396</v>
      </c>
      <c r="D9" s="53">
        <v>314.803549660844</v>
      </c>
      <c r="E9" s="172">
        <v>12219.302930488277</v>
      </c>
      <c r="F9" s="54">
        <v>188.45518798828124</v>
      </c>
      <c r="G9" s="275">
        <v>68067.51587287079</v>
      </c>
      <c r="H9" s="172">
        <v>65319.98281249998</v>
      </c>
      <c r="I9" s="53">
        <v>59144.90645932397</v>
      </c>
      <c r="J9" s="275">
        <v>6175.076353176009</v>
      </c>
      <c r="K9" s="7"/>
      <c r="L9" s="7"/>
      <c r="M9" s="4"/>
      <c r="N9" s="4"/>
      <c r="O9" s="4"/>
    </row>
    <row r="10" spans="1:15" ht="15">
      <c r="A10" s="58">
        <v>2013</v>
      </c>
      <c r="B10" s="333">
        <v>58</v>
      </c>
      <c r="C10" s="172">
        <v>56745.56733681676</v>
      </c>
      <c r="D10" s="53">
        <v>326.6086827731256</v>
      </c>
      <c r="E10" s="172">
        <v>12645.464465497387</v>
      </c>
      <c r="F10" s="54">
        <v>311.304939159892</v>
      </c>
      <c r="G10" s="275">
        <v>70028.94542424717</v>
      </c>
      <c r="H10" s="172">
        <v>66952.98238281248</v>
      </c>
      <c r="I10" s="53">
        <v>60714.92839811946</v>
      </c>
      <c r="J10" s="275">
        <v>6238.053984693019</v>
      </c>
      <c r="K10" s="7"/>
      <c r="L10" s="7"/>
      <c r="M10" s="4"/>
      <c r="N10" s="4"/>
      <c r="O10" s="4"/>
    </row>
    <row r="11" spans="1:15" ht="15">
      <c r="A11" s="58">
        <v>2014</v>
      </c>
      <c r="B11" s="333">
        <v>59</v>
      </c>
      <c r="C11" s="172">
        <v>58180.88171298332</v>
      </c>
      <c r="D11" s="53">
        <v>338.85650837711785</v>
      </c>
      <c r="E11" s="172">
        <v>13085.072709070564</v>
      </c>
      <c r="F11" s="54">
        <v>439.94238659138205</v>
      </c>
      <c r="G11" s="275">
        <v>72044.75331702239</v>
      </c>
      <c r="H11" s="172">
        <v>68626.80694238277</v>
      </c>
      <c r="I11" s="53">
        <v>88536.89325459911</v>
      </c>
      <c r="J11" s="275">
        <v>-19910.086312216343</v>
      </c>
      <c r="K11" s="7"/>
      <c r="L11" s="7"/>
      <c r="M11" s="4"/>
      <c r="N11" s="4"/>
      <c r="O11" s="4"/>
    </row>
    <row r="12" spans="1:15" ht="15">
      <c r="A12" s="58">
        <v>2015</v>
      </c>
      <c r="B12" s="333">
        <v>60</v>
      </c>
      <c r="C12" s="172">
        <v>58690.34500623171</v>
      </c>
      <c r="D12" s="53">
        <v>351.5636274412597</v>
      </c>
      <c r="E12" s="172">
        <v>13420.394118852468</v>
      </c>
      <c r="F12" s="54">
        <v>456.44022608855886</v>
      </c>
      <c r="G12" s="275">
        <v>72918.742978614</v>
      </c>
      <c r="H12" s="172">
        <v>70342.47711594233</v>
      </c>
      <c r="I12" s="53">
        <v>62842.082483016944</v>
      </c>
      <c r="J12" s="275">
        <v>7500.394632925381</v>
      </c>
      <c r="K12" s="7"/>
      <c r="L12" s="7"/>
      <c r="M12" s="4"/>
      <c r="N12" s="4"/>
      <c r="O12" s="4"/>
    </row>
    <row r="13" spans="1:15" ht="15">
      <c r="A13" s="58">
        <v>2016</v>
      </c>
      <c r="B13" s="333">
        <v>61</v>
      </c>
      <c r="C13" s="172">
        <v>60164.02329591914</v>
      </c>
      <c r="D13" s="53">
        <v>364.74726347030696</v>
      </c>
      <c r="E13" s="172">
        <v>13905.018045606666</v>
      </c>
      <c r="F13" s="54">
        <v>614.1891339342307</v>
      </c>
      <c r="G13" s="275">
        <v>75047.97773893033</v>
      </c>
      <c r="H13" s="172">
        <v>72101.03904384086</v>
      </c>
      <c r="I13" s="53">
        <v>64543.509164844974</v>
      </c>
      <c r="J13" s="275">
        <v>7557.529878995891</v>
      </c>
      <c r="K13" s="7"/>
      <c r="L13" s="7"/>
      <c r="M13" s="4"/>
      <c r="N13" s="4"/>
      <c r="O13" s="4"/>
    </row>
    <row r="14" spans="1:15" ht="15">
      <c r="A14" s="58">
        <v>2017</v>
      </c>
      <c r="B14" s="333">
        <v>62</v>
      </c>
      <c r="C14" s="172">
        <v>61674.76909187478</v>
      </c>
      <c r="D14" s="53">
        <v>378.42528585044346</v>
      </c>
      <c r="E14" s="172">
        <v>14404.884002889294</v>
      </c>
      <c r="F14" s="54">
        <v>778.9249116879373</v>
      </c>
      <c r="G14" s="275">
        <v>77237.00329230246</v>
      </c>
      <c r="H14" s="172">
        <v>73903.56501993691</v>
      </c>
      <c r="I14" s="53">
        <v>69723.3529837695</v>
      </c>
      <c r="J14" s="275">
        <v>4180.212036167417</v>
      </c>
      <c r="K14" s="7"/>
      <c r="L14" s="7"/>
      <c r="M14" s="4"/>
      <c r="N14" s="4"/>
      <c r="O14" s="4"/>
    </row>
    <row r="15" spans="1:15" ht="15">
      <c r="A15" s="58">
        <v>2018</v>
      </c>
      <c r="B15" s="333">
        <v>63</v>
      </c>
      <c r="C15" s="172">
        <v>11123.045623918513</v>
      </c>
      <c r="D15" s="53">
        <v>392.6162340698351</v>
      </c>
      <c r="E15" s="172">
        <v>4644.694201085518</v>
      </c>
      <c r="F15" s="54">
        <v>886.5135715543739</v>
      </c>
      <c r="G15" s="275">
        <v>17046.86963062824</v>
      </c>
      <c r="H15" s="172">
        <v>13439.310005772362</v>
      </c>
      <c r="I15" s="53">
        <v>50206.08757728884</v>
      </c>
      <c r="J15" s="275">
        <v>-36766.777571516475</v>
      </c>
      <c r="K15" s="7"/>
      <c r="L15" s="7"/>
      <c r="M15" s="4"/>
      <c r="N15" s="4"/>
      <c r="O15" s="4"/>
    </row>
    <row r="16" spans="1:15" ht="15">
      <c r="A16" s="58">
        <v>2019</v>
      </c>
      <c r="B16" s="333">
        <v>64</v>
      </c>
      <c r="C16" s="172">
        <v>16046.515276417651</v>
      </c>
      <c r="D16" s="53">
        <v>407.3393428474539</v>
      </c>
      <c r="E16" s="172">
        <v>17066.64072734925</v>
      </c>
      <c r="F16" s="54">
        <v>230.38075102172905</v>
      </c>
      <c r="G16" s="275">
        <v>33750.876097636086</v>
      </c>
      <c r="H16" s="172">
        <v>31394.656895882035</v>
      </c>
      <c r="I16" s="53">
        <v>53054.001509347545</v>
      </c>
      <c r="J16" s="275">
        <v>-21659.34461346551</v>
      </c>
      <c r="K16" s="7"/>
      <c r="L16" s="7"/>
      <c r="M16" s="4"/>
      <c r="N16" s="4"/>
      <c r="O16" s="4"/>
    </row>
    <row r="17" spans="1:15" ht="15">
      <c r="A17" s="58">
        <v>2020</v>
      </c>
      <c r="B17" s="333">
        <v>65</v>
      </c>
      <c r="C17" s="172">
        <v>29014.871485086955</v>
      </c>
      <c r="D17" s="53">
        <v>16.50185670175515</v>
      </c>
      <c r="E17" s="172">
        <v>14305.04307734313</v>
      </c>
      <c r="F17" s="54">
        <v>239.0200291850439</v>
      </c>
      <c r="G17" s="275">
        <v>43575.43644831688</v>
      </c>
      <c r="H17" s="172">
        <v>41951.19029210713</v>
      </c>
      <c r="I17" s="53">
        <v>55898.13872250096</v>
      </c>
      <c r="J17" s="275">
        <v>-13946.94843039383</v>
      </c>
      <c r="K17" s="7"/>
      <c r="L17" s="7"/>
      <c r="M17" s="4"/>
      <c r="N17" s="4"/>
      <c r="O17" s="4"/>
    </row>
    <row r="18" spans="1:15" ht="15">
      <c r="A18" s="58">
        <v>2021</v>
      </c>
      <c r="B18" s="333">
        <v>66</v>
      </c>
      <c r="C18" s="172">
        <v>29113.66093930048</v>
      </c>
      <c r="D18" s="53">
        <v>17.120676328070967</v>
      </c>
      <c r="E18" s="172">
        <v>14547.741122601328</v>
      </c>
      <c r="F18" s="54">
        <v>247.98328027948307</v>
      </c>
      <c r="G18" s="275">
        <v>43926.50601850936</v>
      </c>
      <c r="H18" s="172">
        <v>42668.10810223682</v>
      </c>
      <c r="I18" s="53">
        <v>56957.751722335335</v>
      </c>
      <c r="J18" s="275">
        <v>-14289.643620098512</v>
      </c>
      <c r="K18" s="7"/>
      <c r="L18" s="7"/>
      <c r="M18" s="4"/>
      <c r="N18" s="4"/>
      <c r="O18" s="4"/>
    </row>
    <row r="19" spans="1:15" ht="15">
      <c r="A19" s="58">
        <v>2022</v>
      </c>
      <c r="B19" s="333">
        <v>67</v>
      </c>
      <c r="C19" s="172">
        <v>29627.710747975165</v>
      </c>
      <c r="D19" s="53">
        <v>17.76270169037363</v>
      </c>
      <c r="E19" s="172">
        <v>22359.834620329817</v>
      </c>
      <c r="F19" s="54">
        <v>257.28265328996366</v>
      </c>
      <c r="G19" s="275">
        <v>52262.59072328532</v>
      </c>
      <c r="H19" s="172">
        <v>51391.15361877846</v>
      </c>
      <c r="I19" s="53">
        <v>59095.785030765524</v>
      </c>
      <c r="J19" s="275">
        <v>-7704.631411987066</v>
      </c>
      <c r="K19" s="7"/>
      <c r="L19" s="7"/>
      <c r="M19" s="4"/>
      <c r="N19" s="4"/>
      <c r="O19" s="4"/>
    </row>
    <row r="20" spans="1:15" ht="15">
      <c r="A20" s="58">
        <v>2023</v>
      </c>
      <c r="B20" s="333">
        <v>68</v>
      </c>
      <c r="C20" s="172">
        <v>30150.96314854392</v>
      </c>
      <c r="D20" s="53">
        <v>18.42880300376264</v>
      </c>
      <c r="E20" s="172">
        <v>22607.023779362484</v>
      </c>
      <c r="F20" s="54">
        <v>122.46891381357982</v>
      </c>
      <c r="G20" s="275">
        <v>52898.88464472375</v>
      </c>
      <c r="H20" s="172">
        <v>52286.102424706485</v>
      </c>
      <c r="I20" s="53">
        <v>60625.97863909842</v>
      </c>
      <c r="J20" s="275">
        <v>-8339.876214391938</v>
      </c>
      <c r="K20" s="7"/>
      <c r="L20" s="7"/>
      <c r="M20" s="4"/>
      <c r="N20" s="4"/>
      <c r="O20" s="4"/>
    </row>
    <row r="21" spans="1:15" ht="15">
      <c r="A21" s="58">
        <v>2024</v>
      </c>
      <c r="B21" s="333">
        <v>69</v>
      </c>
      <c r="C21" s="172">
        <v>48683.58519927574</v>
      </c>
      <c r="D21" s="53">
        <v>19.119883116403738</v>
      </c>
      <c r="E21" s="172">
        <v>51650.1582762002</v>
      </c>
      <c r="F21" s="54">
        <v>127.06149808158906</v>
      </c>
      <c r="G21" s="275">
        <v>100479.92485667393</v>
      </c>
      <c r="H21" s="172">
        <v>100096.84199073566</v>
      </c>
      <c r="I21" s="53">
        <v>106820.4706328539</v>
      </c>
      <c r="J21" s="275">
        <v>-6723.628642118245</v>
      </c>
      <c r="K21" s="7"/>
      <c r="L21" s="7"/>
      <c r="M21" s="4"/>
      <c r="N21" s="4"/>
      <c r="O21" s="4"/>
    </row>
    <row r="22" spans="1:15" ht="15">
      <c r="A22" s="58">
        <v>2025</v>
      </c>
      <c r="B22" s="333">
        <v>70</v>
      </c>
      <c r="C22" s="172">
        <v>31225.747037000732</v>
      </c>
      <c r="D22" s="53">
        <v>19.83687873326888</v>
      </c>
      <c r="E22" s="172">
        <v>30916.94412973033</v>
      </c>
      <c r="F22" s="54">
        <v>5.758267219931565</v>
      </c>
      <c r="G22" s="275">
        <v>62168.28631268427</v>
      </c>
      <c r="H22" s="172">
        <v>62023.6543141293</v>
      </c>
      <c r="I22" s="53">
        <v>64438.520339800976</v>
      </c>
      <c r="J22" s="275">
        <v>-2414.8660256716757</v>
      </c>
      <c r="K22" s="7"/>
      <c r="L22" s="7"/>
      <c r="M22" s="4"/>
      <c r="N22" s="4"/>
      <c r="O22" s="4"/>
    </row>
    <row r="23" spans="1:15" ht="15">
      <c r="A23" s="58">
        <v>2026</v>
      </c>
      <c r="B23" s="333">
        <v>71</v>
      </c>
      <c r="C23" s="172">
        <v>32205.175954096638</v>
      </c>
      <c r="D23" s="53">
        <v>20.580761685766465</v>
      </c>
      <c r="E23" s="172">
        <v>32412.004469886873</v>
      </c>
      <c r="F23" s="54">
        <v>5.9742022406789985</v>
      </c>
      <c r="G23" s="275">
        <v>64643.73538790996</v>
      </c>
      <c r="H23" s="172">
        <v>64566.826482979195</v>
      </c>
      <c r="I23" s="53">
        <v>65637.65429837452</v>
      </c>
      <c r="J23" s="275">
        <v>-1070.8278153953215</v>
      </c>
      <c r="K23" s="7"/>
      <c r="L23" s="7"/>
      <c r="M23" s="4"/>
      <c r="N23" s="4"/>
      <c r="O23" s="4"/>
    </row>
    <row r="24" spans="1:15" ht="15">
      <c r="A24" s="58">
        <v>2027</v>
      </c>
      <c r="B24" s="333">
        <v>72</v>
      </c>
      <c r="C24" s="172">
        <v>37397.22041459551</v>
      </c>
      <c r="D24" s="53">
        <v>1.2745187103204272</v>
      </c>
      <c r="E24" s="172">
        <v>26913.947489438568</v>
      </c>
      <c r="F24" s="54">
        <v>6.198234824704461</v>
      </c>
      <c r="G24" s="275">
        <v>64318.6406575691</v>
      </c>
      <c r="H24" s="172">
        <v>64279.182204108845</v>
      </c>
      <c r="I24" s="53">
        <v>64987.32050823429</v>
      </c>
      <c r="J24" s="275">
        <v>-708.1383041254448</v>
      </c>
      <c r="K24" s="7"/>
      <c r="L24" s="7"/>
      <c r="M24" s="4"/>
      <c r="N24" s="4"/>
      <c r="O24" s="4"/>
    </row>
    <row r="25" spans="1:15" ht="15">
      <c r="A25" s="58">
        <v>2028</v>
      </c>
      <c r="B25" s="333">
        <v>73</v>
      </c>
      <c r="C25" s="172">
        <v>37827.05776524837</v>
      </c>
      <c r="D25" s="53">
        <v>1.3223131619574433</v>
      </c>
      <c r="E25" s="172">
        <v>26195.144627456495</v>
      </c>
      <c r="F25" s="54">
        <v>6.430668630630878</v>
      </c>
      <c r="G25" s="275">
        <v>64029.955374497455</v>
      </c>
      <c r="H25" s="172">
        <v>64010.44522525413</v>
      </c>
      <c r="I25" s="53">
        <v>64294.91609995509</v>
      </c>
      <c r="J25" s="275">
        <v>-284.4708747009572</v>
      </c>
      <c r="K25" s="7"/>
      <c r="L25" s="7"/>
      <c r="M25" s="4"/>
      <c r="N25" s="4"/>
      <c r="O25" s="4"/>
    </row>
    <row r="26" spans="1:15" ht="15">
      <c r="A26" s="58">
        <v>2029</v>
      </c>
      <c r="B26" s="333">
        <v>74</v>
      </c>
      <c r="C26" s="172">
        <v>38270.584148263115</v>
      </c>
      <c r="D26" s="53">
        <v>1.3718999055308476</v>
      </c>
      <c r="E26" s="172">
        <v>26447.52228450831</v>
      </c>
      <c r="F26" s="54">
        <v>1.337989803636589</v>
      </c>
      <c r="G26" s="275">
        <v>64720.81632248059</v>
      </c>
      <c r="H26" s="172">
        <v>64711.272231834366</v>
      </c>
      <c r="I26" s="53">
        <v>63919.718438861906</v>
      </c>
      <c r="J26" s="275">
        <v>791.5537929724596</v>
      </c>
      <c r="K26" s="7"/>
      <c r="L26" s="7"/>
      <c r="M26" s="4"/>
      <c r="N26" s="4"/>
      <c r="O26" s="4"/>
    </row>
    <row r="27" spans="1:15" ht="15">
      <c r="A27" s="58">
        <v>2030</v>
      </c>
      <c r="B27" s="333">
        <v>75</v>
      </c>
      <c r="C27" s="172">
        <v>38733.194938230095</v>
      </c>
      <c r="D27" s="53">
        <v>1.4233461519882542</v>
      </c>
      <c r="E27" s="172">
        <v>26836.356663038474</v>
      </c>
      <c r="F27" s="54">
        <v>16.22979803950658</v>
      </c>
      <c r="G27" s="275">
        <v>65587.20474546007</v>
      </c>
      <c r="H27" s="172">
        <v>65547.65041651235</v>
      </c>
      <c r="I27" s="53">
        <v>63569.95287463598</v>
      </c>
      <c r="J27" s="275">
        <v>1977.6975418763686</v>
      </c>
      <c r="K27" s="7"/>
      <c r="L27" s="7"/>
      <c r="M27" s="4"/>
      <c r="N27" s="4"/>
      <c r="O27" s="4"/>
    </row>
    <row r="28" spans="1:15" ht="15">
      <c r="A28" s="58">
        <v>2031</v>
      </c>
      <c r="B28" s="333">
        <v>76</v>
      </c>
      <c r="C28" s="172">
        <v>39201.453609843404</v>
      </c>
      <c r="D28" s="53">
        <v>1.4767216326878139</v>
      </c>
      <c r="E28" s="172">
        <v>27256.546543623368</v>
      </c>
      <c r="F28" s="54">
        <v>53.92024437616998</v>
      </c>
      <c r="G28" s="275">
        <v>66513.39711947563</v>
      </c>
      <c r="H28" s="172">
        <v>66398.22770567624</v>
      </c>
      <c r="I28" s="53">
        <v>63290.04833936488</v>
      </c>
      <c r="J28" s="275">
        <v>3108.1793663113567</v>
      </c>
      <c r="K28" s="7"/>
      <c r="L28" s="7"/>
      <c r="M28" s="4"/>
      <c r="N28" s="4"/>
      <c r="O28" s="4"/>
    </row>
    <row r="29" spans="1:15" ht="15">
      <c r="A29" s="58">
        <v>2032</v>
      </c>
      <c r="B29" s="333">
        <v>77</v>
      </c>
      <c r="C29" s="172">
        <v>39687.21435930867</v>
      </c>
      <c r="D29" s="53">
        <v>1.5320986939136068</v>
      </c>
      <c r="E29" s="172">
        <v>31209.895362276693</v>
      </c>
      <c r="F29" s="54">
        <v>114.2206166586143</v>
      </c>
      <c r="G29" s="275">
        <v>71012.86243693788</v>
      </c>
      <c r="H29" s="172">
        <v>70776.85025999771</v>
      </c>
      <c r="I29" s="53">
        <v>64048.89696026827</v>
      </c>
      <c r="J29" s="275">
        <v>6727.953299729437</v>
      </c>
      <c r="K29" s="7"/>
      <c r="L29" s="7"/>
      <c r="M29" s="4"/>
      <c r="N29" s="4"/>
      <c r="O29" s="4"/>
    </row>
    <row r="30" spans="1:15" ht="15">
      <c r="A30" s="58">
        <v>2033</v>
      </c>
      <c r="B30" s="333">
        <v>78</v>
      </c>
      <c r="C30" s="172">
        <v>40188.8114938178</v>
      </c>
      <c r="D30" s="53">
        <v>1.589552394935367</v>
      </c>
      <c r="E30" s="172">
        <v>28959.547712884767</v>
      </c>
      <c r="F30" s="54">
        <v>244.65301415323927</v>
      </c>
      <c r="G30" s="275">
        <v>69394.60177325075</v>
      </c>
      <c r="H30" s="172">
        <v>68897.47469153222</v>
      </c>
      <c r="I30" s="53">
        <v>63114.26160483472</v>
      </c>
      <c r="J30" s="275">
        <v>5783.2130866974985</v>
      </c>
      <c r="K30" s="7"/>
      <c r="L30" s="7"/>
      <c r="M30" s="4"/>
      <c r="N30" s="4"/>
      <c r="O30" s="4"/>
    </row>
    <row r="31" spans="1:15" ht="15">
      <c r="A31" s="58">
        <v>2034</v>
      </c>
      <c r="B31" s="333">
        <v>79</v>
      </c>
      <c r="C31" s="172">
        <v>40704.73122981974</v>
      </c>
      <c r="D31" s="53">
        <v>1.6491606097454432</v>
      </c>
      <c r="E31" s="172">
        <v>28413.28200889376</v>
      </c>
      <c r="F31" s="54">
        <v>362.2627475595639</v>
      </c>
      <c r="G31" s="275">
        <v>69481.92514688282</v>
      </c>
      <c r="H31" s="172">
        <v>68749.32012346335</v>
      </c>
      <c r="I31" s="53">
        <v>62844.72134915441</v>
      </c>
      <c r="J31" s="275">
        <v>5904.598774308935</v>
      </c>
      <c r="K31" s="7"/>
      <c r="L31" s="7"/>
      <c r="M31" s="4"/>
      <c r="N31" s="4"/>
      <c r="O31" s="4"/>
    </row>
    <row r="32" spans="1:15" ht="15">
      <c r="A32" s="58">
        <v>2035</v>
      </c>
      <c r="B32" s="333">
        <v>80</v>
      </c>
      <c r="C32" s="172">
        <v>42733.61118517425</v>
      </c>
      <c r="D32" s="53">
        <v>1.7110041326108973</v>
      </c>
      <c r="E32" s="172">
        <v>28966.935597075728</v>
      </c>
      <c r="F32" s="54">
        <v>486.55882761134</v>
      </c>
      <c r="G32" s="275">
        <v>72188.81661399393</v>
      </c>
      <c r="H32" s="172">
        <v>71207.35230721276</v>
      </c>
      <c r="I32" s="53">
        <v>63345.30948731114</v>
      </c>
      <c r="J32" s="275">
        <v>7862.042819901617</v>
      </c>
      <c r="K32" s="7"/>
      <c r="L32" s="7"/>
      <c r="M32" s="4"/>
      <c r="N32" s="4"/>
      <c r="O32" s="4"/>
    </row>
    <row r="33" spans="1:15" ht="15">
      <c r="A33" s="58">
        <v>2036</v>
      </c>
      <c r="B33" s="333">
        <v>81</v>
      </c>
      <c r="C33" s="172">
        <v>41639.39335734328</v>
      </c>
      <c r="D33" s="53">
        <v>1.775166787583806</v>
      </c>
      <c r="E33" s="172">
        <v>29570.757032086334</v>
      </c>
      <c r="F33" s="54">
        <v>652.2180865199206</v>
      </c>
      <c r="G33" s="275">
        <v>71864.14364273712</v>
      </c>
      <c r="H33" s="172">
        <v>70551.08475353006</v>
      </c>
      <c r="I33" s="53">
        <v>59128.14906997456</v>
      </c>
      <c r="J33" s="275">
        <v>11422.935683555494</v>
      </c>
      <c r="K33" s="7"/>
      <c r="L33" s="7"/>
      <c r="M33" s="4"/>
      <c r="N33" s="4"/>
      <c r="O33" s="4"/>
    </row>
    <row r="34" spans="1:15" ht="15">
      <c r="A34" s="58">
        <v>2037</v>
      </c>
      <c r="B34" s="333">
        <v>82</v>
      </c>
      <c r="C34" s="172">
        <v>42202.27591601491</v>
      </c>
      <c r="D34" s="53">
        <v>1.8417355421181987</v>
      </c>
      <c r="E34" s="172">
        <v>30256.07057605262</v>
      </c>
      <c r="F34" s="54">
        <v>890.8563088310831</v>
      </c>
      <c r="G34" s="275">
        <v>73351.04453644072</v>
      </c>
      <c r="H34" s="172">
        <v>71560.42389362448</v>
      </c>
      <c r="I34" s="53">
        <v>59151.916779168656</v>
      </c>
      <c r="J34" s="275">
        <v>12408.507114455824</v>
      </c>
      <c r="K34" s="7"/>
      <c r="L34" s="7"/>
      <c r="M34" s="4"/>
      <c r="N34" s="4"/>
      <c r="O34" s="4"/>
    </row>
    <row r="35" spans="1:15" ht="15">
      <c r="A35" s="58">
        <v>2038</v>
      </c>
      <c r="B35" s="333">
        <v>83</v>
      </c>
      <c r="C35" s="172">
        <v>42777.18602820574</v>
      </c>
      <c r="D35" s="53">
        <v>1.9108006249476313</v>
      </c>
      <c r="E35" s="172">
        <v>30977.07572202182</v>
      </c>
      <c r="F35" s="54">
        <v>1156.9229288082954</v>
      </c>
      <c r="G35" s="275">
        <v>74913.0954796608</v>
      </c>
      <c r="H35" s="172">
        <v>72590.0467301024</v>
      </c>
      <c r="I35" s="53">
        <v>59230.73724612614</v>
      </c>
      <c r="J35" s="275">
        <v>13359.309483976263</v>
      </c>
      <c r="K35" s="7"/>
      <c r="L35" s="7"/>
      <c r="M35" s="4"/>
      <c r="N35" s="4"/>
      <c r="O35" s="4"/>
    </row>
    <row r="36" spans="1:12" ht="15">
      <c r="A36" s="58">
        <v>2039</v>
      </c>
      <c r="B36" s="333">
        <v>84</v>
      </c>
      <c r="C36" s="172">
        <v>43366.05060492199</v>
      </c>
      <c r="D36" s="53">
        <v>1.9824556483831675</v>
      </c>
      <c r="E36" s="172">
        <v>31736.324425340135</v>
      </c>
      <c r="F36" s="54">
        <v>1450.7945914631614</v>
      </c>
      <c r="G36" s="275">
        <v>76555.15207737366</v>
      </c>
      <c r="H36" s="172">
        <v>73644.05525373788</v>
      </c>
      <c r="I36" s="53">
        <v>59363.93113966855</v>
      </c>
      <c r="J36" s="275">
        <v>14280.124114069331</v>
      </c>
      <c r="K36" s="7"/>
      <c r="L36" s="7"/>
    </row>
    <row r="37" spans="1:12" ht="15">
      <c r="A37" s="58">
        <v>2040</v>
      </c>
      <c r="B37" s="333">
        <v>85</v>
      </c>
      <c r="C37" s="172">
        <v>43969.73088139593</v>
      </c>
      <c r="D37" s="53">
        <v>2.056797735197536</v>
      </c>
      <c r="E37" s="172">
        <v>32532.379341113956</v>
      </c>
      <c r="F37" s="54">
        <v>1772.95171578183</v>
      </c>
      <c r="G37" s="275">
        <v>78277.11873602691</v>
      </c>
      <c r="H37" s="172">
        <v>74721.39269769781</v>
      </c>
      <c r="I37" s="53">
        <v>59556.66124414387</v>
      </c>
      <c r="J37" s="275">
        <v>15164.73145355394</v>
      </c>
      <c r="K37" s="7"/>
      <c r="L37" s="7"/>
    </row>
    <row r="38" spans="1:12" ht="15">
      <c r="A38" s="58">
        <v>2041</v>
      </c>
      <c r="B38" s="333">
        <v>86</v>
      </c>
      <c r="C38" s="172">
        <v>44588.11932116734</v>
      </c>
      <c r="D38" s="54">
        <v>2.133927650267444</v>
      </c>
      <c r="E38" s="172">
        <v>33366.275209244304</v>
      </c>
      <c r="F38" s="54">
        <v>2123.776119877785</v>
      </c>
      <c r="G38" s="275">
        <v>80080.3045779397</v>
      </c>
      <c r="H38" s="172">
        <v>75822.60420124969</v>
      </c>
      <c r="I38" s="53">
        <v>59811.62860545154</v>
      </c>
      <c r="J38" s="275">
        <v>16010.975595798154</v>
      </c>
      <c r="K38" s="7"/>
      <c r="L38" s="7"/>
    </row>
    <row r="39" spans="1:12" ht="15">
      <c r="A39" s="58">
        <v>2042</v>
      </c>
      <c r="B39" s="333">
        <v>87</v>
      </c>
      <c r="C39" s="172">
        <v>45218.09242740513</v>
      </c>
      <c r="D39" s="54">
        <v>2.213949937152473</v>
      </c>
      <c r="E39" s="172">
        <v>34238.71410232787</v>
      </c>
      <c r="F39" s="54">
        <v>2503.623516794418</v>
      </c>
      <c r="G39" s="275">
        <v>81962.64399646455</v>
      </c>
      <c r="H39" s="172">
        <v>76949.96986511526</v>
      </c>
      <c r="I39" s="53">
        <v>60115.979709443905</v>
      </c>
      <c r="J39" s="275">
        <v>16833.990155671352</v>
      </c>
      <c r="K39" s="7"/>
      <c r="L39" s="7"/>
    </row>
    <row r="40" spans="1:12" ht="15">
      <c r="A40" s="58">
        <v>2043</v>
      </c>
      <c r="B40" s="333">
        <v>88</v>
      </c>
      <c r="C40" s="172">
        <v>45815.67783138498</v>
      </c>
      <c r="D40" s="54">
        <v>2.2969730597956906</v>
      </c>
      <c r="E40" s="172">
        <v>35142.59307371469</v>
      </c>
      <c r="F40" s="54">
        <v>2913.146714093046</v>
      </c>
      <c r="G40" s="275">
        <v>83873.71459225251</v>
      </c>
      <c r="H40" s="172">
        <v>78041.79804412408</v>
      </c>
      <c r="I40" s="53">
        <v>60453.74630465126</v>
      </c>
      <c r="J40" s="275">
        <v>17588.051739472823</v>
      </c>
      <c r="K40" s="7"/>
      <c r="L40" s="7"/>
    </row>
    <row r="41" spans="1:12" ht="15">
      <c r="A41" s="58">
        <v>2044</v>
      </c>
      <c r="B41" s="333">
        <v>89</v>
      </c>
      <c r="C41" s="172">
        <v>46433.35403752704</v>
      </c>
      <c r="D41" s="54">
        <v>2.383109549538029</v>
      </c>
      <c r="E41" s="172">
        <v>36086.92509956787</v>
      </c>
      <c r="F41" s="54">
        <v>3352.1656859866503</v>
      </c>
      <c r="G41" s="275">
        <v>85874.82793263109</v>
      </c>
      <c r="H41" s="172">
        <v>79164.67029252129</v>
      </c>
      <c r="I41" s="53">
        <v>60841.97361495553</v>
      </c>
      <c r="J41" s="275">
        <v>18322.696677565757</v>
      </c>
      <c r="K41" s="7"/>
      <c r="L41" s="7"/>
    </row>
    <row r="42" spans="1:12" ht="15">
      <c r="A42" s="58">
        <v>2045</v>
      </c>
      <c r="B42" s="333">
        <v>90</v>
      </c>
      <c r="C42" s="172">
        <v>47071.703719850506</v>
      </c>
      <c r="D42" s="54">
        <v>2.472476157645705</v>
      </c>
      <c r="E42" s="172">
        <v>37071.701927367074</v>
      </c>
      <c r="F42" s="54">
        <v>3821.4224619155075</v>
      </c>
      <c r="G42" s="275">
        <v>87967.30058529074</v>
      </c>
      <c r="H42" s="172">
        <v>80318.4188586359</v>
      </c>
      <c r="I42" s="53">
        <v>61371.91822437142</v>
      </c>
      <c r="J42" s="275">
        <v>18946.500634264477</v>
      </c>
      <c r="K42" s="7"/>
      <c r="L42" s="7"/>
    </row>
    <row r="43" spans="1:12" ht="15.75" thickBot="1">
      <c r="A43" s="11">
        <v>2046</v>
      </c>
      <c r="B43" s="334">
        <v>91</v>
      </c>
      <c r="C43" s="173">
        <v>47727.80344034797</v>
      </c>
      <c r="D43" s="57">
        <v>2.5651940135574187</v>
      </c>
      <c r="E43" s="173">
        <v>38096.49621730075</v>
      </c>
      <c r="F43" s="57">
        <v>4319.9726911297985</v>
      </c>
      <c r="G43" s="276">
        <v>90146.83754279208</v>
      </c>
      <c r="H43" s="173">
        <v>81500.63716648157</v>
      </c>
      <c r="I43" s="56">
        <v>61963.6627562038</v>
      </c>
      <c r="J43" s="276">
        <v>19536.97441027777</v>
      </c>
      <c r="K43" s="7"/>
      <c r="L43" s="7"/>
    </row>
    <row r="44" spans="3:12" ht="15"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ht="1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3:12" ht="1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5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ht="15"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3:12" ht="15"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3:12" ht="15"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3:12" ht="15"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3:12" ht="15"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3:12" ht="15"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3:12" ht="15"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3:12" ht="15"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3:12" ht="15"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3:12" ht="15"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3:12" ht="15"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3:12" ht="15"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3:12" ht="15"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3:12" ht="15"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3:12" ht="15"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3:12" ht="15"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3:12" ht="15"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3:12" ht="15"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3:12" ht="15"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3:12" ht="15"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3:12" ht="15"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3:12" ht="15"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3:12" ht="15"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3:12" ht="15"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3:12" ht="15"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3:12" ht="15"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3:12" ht="15"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3:12" ht="15"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3:12" ht="15"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3:12" ht="15"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3:12" ht="15"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3:12" ht="15"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3:12" ht="15"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3:12" ht="15"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3:12" ht="15"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3:12" ht="15"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3:12" ht="15"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3:12" ht="15"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3:12" ht="15"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3:12" ht="15"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3:12" ht="15"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3:12" ht="15"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3:12" ht="15"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3:12" ht="15"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3:12" ht="15"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3:12" ht="15"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3:12" ht="15"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3:12" ht="15"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3:12" ht="15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15"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3:12" ht="15"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3:12" ht="15"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3:12" ht="15"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3:12" ht="15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3:12" ht="15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2" ht="15"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3:12" ht="15"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3:12" ht="15"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3:12" ht="15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3:12" ht="15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3:12" ht="15"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3:12" ht="15"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3:12" ht="15"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3:12" ht="15"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3:12" ht="15"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3:12" ht="15"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3:12" ht="15"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3:12" ht="15"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3:12" ht="15"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3:12" ht="15"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3:12" ht="15"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3:12" ht="15"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3:12" ht="15"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3:12" ht="15"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3:12" ht="15"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3:12" ht="15"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3:12" ht="15"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3:12" ht="15"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3:12" ht="15"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3:12" ht="15"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3:12" ht="15"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3:12" ht="15"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3:12" ht="15"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3:12" ht="15"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3:12" ht="15"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3:12" ht="15"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3:12" ht="15"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3:12" ht="15"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3:12" ht="15"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3:12" ht="15"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3:12" ht="15"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3:12" ht="15"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3:12" ht="15"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3:12" ht="15"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3:12" ht="15"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3:12" ht="15"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3:12" ht="15"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3:12" ht="15"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3:12" ht="15"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3:12" ht="15"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3:12" ht="15"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3:12" ht="15"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3:12" ht="15"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3:12" ht="15"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3:12" ht="15"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3:12" ht="15"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3:12" ht="15"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3:12" ht="15"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3:12" ht="15"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3:12" ht="15"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3:12" ht="15"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3:12" ht="15"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3:12" ht="15"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3:12" ht="15"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3:12" ht="15"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3:12" ht="15"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3:12" ht="15"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3:12" ht="15"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3:12" ht="15"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3:12" ht="15"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3:12" ht="15"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3:12" ht="15"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3:12" ht="15"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3:12" ht="15"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3:12" ht="15"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3:12" ht="15"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3:12" ht="15"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3:12" ht="15"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3:12" ht="15"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3:12" ht="15"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3:12" ht="15"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3:12" ht="15"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3:12" ht="15"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3:12" ht="15"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3:12" ht="15"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3:12" ht="15"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3:12" ht="15"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3:12" ht="15"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3:12" ht="15"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3:12" ht="15"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3:12" ht="15"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3:12" ht="15"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3:12" ht="15"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3:12" ht="15"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3:12" ht="15"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3:12" ht="15"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3:12" ht="15"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3:12" ht="15"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3:12" ht="15"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3:12" ht="15"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3:12" ht="15"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3:12" ht="15"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3:12" ht="15"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3:12" ht="15"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3:12" ht="15"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3:12" ht="15"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3:12" ht="15"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3:12" ht="15"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3:12" ht="15"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3:12" ht="15"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3:12" ht="15"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3:12" ht="15"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3:12" ht="15"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3:12" ht="15"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3:12" ht="15"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3:12" ht="15"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3:12" ht="15"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3:12" ht="15"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3:12" ht="15"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3:12" ht="15"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3:12" ht="15"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3:12" ht="15"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3:12" ht="15"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3:12" ht="15"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3:12" ht="15"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3:12" ht="15"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3:12" ht="15"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3:12" ht="15"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3:12" ht="15"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3:12" ht="15"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3:12" ht="15"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3:12" ht="15"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3:12" ht="15"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3:12" ht="15"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3:12" ht="15"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3:12" ht="15"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3:12" ht="15"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3:12" ht="15"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3:12" ht="15"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3:12" ht="15"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3:12" ht="15"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3:12" ht="15"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3:12" ht="15"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3:12" ht="15"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3:12" ht="15"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3:12" ht="15"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3:12" ht="15"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3:12" ht="15"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3:12" ht="15"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3:12" ht="15"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3:12" ht="15"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3:12" ht="15"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3:12" ht="15"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3:12" ht="15"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3:12" ht="15"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3:12" ht="15"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3:12" ht="15"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3:12" ht="15"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3:12" ht="15"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3:12" ht="15"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3:12" ht="15"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3:12" ht="15"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3:12" ht="15"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3:12" ht="15"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3:12" ht="15"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3:12" ht="15"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3:12" ht="15"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3:12" ht="15"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3:12" ht="15"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3:12" ht="15"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3:12" ht="15"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3:12" ht="15"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3:12" ht="15"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3:12" ht="15"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3:12" ht="15"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3:12" ht="15"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3:12" ht="15"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3:12" ht="15"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3:12" ht="15"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3:12" ht="15"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3:12" ht="15"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3:12" ht="15"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3:12" ht="15"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3:12" ht="15"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3:12" ht="15"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3:12" ht="15"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3:12" ht="15"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3:12" ht="15"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3:12" ht="15"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3:12" ht="15"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3:12" ht="15"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3:12" ht="15"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3:12" ht="15"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3:12" ht="15"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3:12" ht="15"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3:12" ht="15"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3:12" ht="15"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3:12" ht="15"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3:12" ht="15"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3:12" ht="15"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3:12" ht="15"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3:12" ht="15"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3:12" ht="15"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3:12" ht="15"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3:12" ht="15"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3:12" ht="15"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3:12" ht="15"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3:12" ht="15"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3:12" ht="15"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3:12" ht="15"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3:12" ht="15"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3:12" ht="15"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3:12" ht="15"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3:12" ht="15"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3:12" ht="15"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3:12" ht="15"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3:12" ht="15"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3:12" ht="15"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3:12" ht="15"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3:12" ht="15"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3:12" ht="15"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3:12" ht="15"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3:12" ht="15"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3:12" ht="15"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3:12" ht="15"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3:12" ht="15"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3:12" ht="15"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3:12" ht="15"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3:12" ht="15"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3:12" ht="15"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3:12" ht="15"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3:12" ht="15"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3:12" ht="15"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3:12" ht="15"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3:12" ht="15"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3:12" ht="15"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3:12" ht="15"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3:12" ht="15"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3:12" ht="15"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3:12" ht="15"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3:12" ht="15"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3:12" ht="15"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3:12" ht="15"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3:12" ht="15"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3:12" ht="15"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3:12" ht="15"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3:12" ht="15"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3:12" ht="15"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3:12" ht="15"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3:12" ht="15"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3:12" ht="15"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3:12" ht="15"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3:12" ht="15"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3:12" ht="15"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3:12" ht="15"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3:12" ht="15"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3:12" ht="15"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3:12" ht="15"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3:12" ht="15"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3:12" ht="15"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3:12" ht="15"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3:12" ht="15"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3:12" ht="15"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3:12" ht="15"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3:12" ht="15"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3:12" ht="15"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3:12" ht="15"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3:12" ht="15"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3:12" ht="15"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3:12" ht="15"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3:12" ht="15"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3:12" ht="15"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3:12" ht="15"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3:12" ht="15"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3:12" ht="15"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3:12" ht="15"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3:12" ht="15"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3:12" ht="15"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3:12" ht="15"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3:12" ht="15"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3:12" ht="15"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3:12" ht="15"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3:12" ht="15"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3:12" ht="15"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3:12" ht="15"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3:12" ht="15"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3:12" ht="15"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3:12" ht="15"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3:12" ht="15"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3:12" ht="15"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3:12" ht="15"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3:12" ht="15"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3:12" ht="15"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3:12" ht="15"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3:12" ht="15"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3:12" ht="15"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3:12" ht="15"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3:12" ht="15"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3:12" ht="15"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3:12" ht="15"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3:12" ht="15"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3:12" ht="15"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3:12" ht="15"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3:12" ht="15"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3:12" ht="15"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3:12" ht="15"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3:12" ht="15"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3:12" ht="15"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3:12" ht="15"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3:12" ht="15"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3:12" ht="15"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3:12" ht="15"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3:12" ht="15"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3:12" ht="15"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3:12" ht="15"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3:12" ht="15"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3:12" ht="15"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3:12" ht="15"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3:12" ht="15"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3:12" ht="15"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3:12" ht="15"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3:12" ht="15"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3:12" ht="15"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3:12" ht="15"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3:12" ht="15"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3:12" ht="15"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3:12" ht="15"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3:12" ht="15"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3:12" ht="15"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3:12" ht="15"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3:12" ht="15"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3:12" ht="15"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3:12" ht="15"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3:12" ht="15"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3:12" ht="15"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3:12" ht="15"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3:12" ht="15"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3:12" ht="15"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3:12" ht="15"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3:12" ht="15"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3:12" ht="15"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3:12" ht="15"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3:12" ht="15"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3:12" ht="15"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3:12" ht="15"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3:12" ht="15"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3:12" ht="15"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3:12" ht="15"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3:12" ht="15"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3:12" ht="15"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3:12" ht="15"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3:12" ht="15"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3:12" ht="15"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3:12" ht="15"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3:12" ht="15"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3:12" ht="15"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3:12" ht="15"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3:12" ht="15"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3:12" ht="15"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3:12" ht="15"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3:12" ht="15"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3:12" ht="15"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3:12" ht="15"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3:12" ht="15"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3:12" ht="15"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3:12" ht="15"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3:12" ht="15"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3:12" ht="15"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3:12" ht="15"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3:12" ht="15"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3:12" ht="15"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3:12" ht="15"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3:12" ht="15"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3:12" ht="15"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3:12" ht="15"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3:12" ht="15"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3:12" ht="15"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3:12" ht="15"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3:12" ht="15"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3:12" ht="15"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3:12" ht="15"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3:12" ht="15"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3:12" ht="15"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3:12" ht="15"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3:12" ht="15"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3:12" ht="15"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3:12" ht="15"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3:12" ht="15"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3:12" ht="15"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3:12" ht="15"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3:12" ht="15"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3:12" ht="15"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3:12" ht="15"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3:12" ht="15"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3:12" ht="15"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3:12" ht="15"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3:12" ht="15"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3:12" ht="15"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3:12" ht="15"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3:12" ht="15"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3:12" ht="15"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3:12" ht="15"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3:12" ht="15"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3:12" ht="15"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3:12" ht="15"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3:12" ht="15"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3:12" ht="15"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3:12" ht="15"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3:12" ht="15"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3:12" ht="15"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3:12" ht="15"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3:12" ht="15"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3:12" ht="15"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3:12" ht="15"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3:12" ht="15"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3:12" ht="15"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3:12" ht="15"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3:12" ht="15"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3:12" ht="15"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3:12" ht="15"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3:12" ht="15"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3:12" ht="15"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3:12" ht="15"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3:12" ht="15"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3:12" ht="15"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3:12" ht="15"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3:12" ht="15"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3:12" ht="15"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3:12" ht="15"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3:12" ht="15"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3:12" ht="15"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3:12" ht="15"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3:12" ht="15"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3:12" ht="15"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3:12" ht="15"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3:12" ht="15"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3:12" ht="15"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3:12" ht="15"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3:12" ht="15"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3:12" ht="15"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3:12" ht="15"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3:12" ht="15"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3:12" ht="15"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3:12" ht="15"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3:12" ht="15"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3:12" ht="15"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3:12" ht="15"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3:12" ht="15"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3:12" ht="15"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3:12" ht="15"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3:12" ht="15"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3:12" ht="15"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3:12" ht="15"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3:12" ht="15"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3:12" ht="15"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3:12" ht="15"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3:12" ht="15"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3:12" ht="15"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3:12" ht="15"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3:12" ht="15"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3:12" ht="15"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3:12" ht="15"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3:12" ht="15">
      <c r="C561" s="7"/>
      <c r="D561" s="7"/>
      <c r="E561" s="7"/>
      <c r="F561" s="7"/>
      <c r="G561" s="7"/>
      <c r="H561" s="7"/>
      <c r="I561" s="7"/>
      <c r="J561" s="7"/>
      <c r="K561" s="7"/>
      <c r="L561" s="7"/>
    </row>
  </sheetData>
  <sheetProtection password="DF35" sheet="1" objects="1" scenarios="1"/>
  <mergeCells count="5">
    <mergeCell ref="A2:J2"/>
    <mergeCell ref="H3:H4"/>
    <mergeCell ref="G3:G4"/>
    <mergeCell ref="I3:I4"/>
    <mergeCell ref="J3:J4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5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28" sqref="G28"/>
    </sheetView>
  </sheetViews>
  <sheetFormatPr defaultColWidth="9.140625" defaultRowHeight="12.75"/>
  <sheetData/>
  <sheetProtection password="DF35"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&amp;L&amp;D&amp;C&amp;"Arial,Bold"&amp;12&amp;A&amp;R&amp;T</oddHeader>
    <oddFooter>&amp;LC:\Documents and Settings\Norm Collins\My Documents\Norm\Financial Assessment Base.xls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N23"/>
  <sheetViews>
    <sheetView workbookViewId="0" topLeftCell="A1">
      <selection activeCell="G29" sqref="G29"/>
    </sheetView>
  </sheetViews>
  <sheetFormatPr defaultColWidth="9.140625" defaultRowHeight="12.75"/>
  <sheetData>
    <row r="23" spans="1:14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</sheetData>
  <sheetProtection password="DF35"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&amp;L&amp;D&amp;C&amp;"Arial,Bold"&amp;12&amp;A&amp;R&amp;T</oddHeader>
    <oddFooter>&amp;LC:\Documents and Settings\Norm Collins\My Documents\Norm\Financial Assessment Base.xls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H32" sqref="H32"/>
    </sheetView>
  </sheetViews>
  <sheetFormatPr defaultColWidth="9.140625" defaultRowHeight="12.75"/>
  <sheetData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&amp;L&amp;D&amp;C&amp;"Arial,Bold"&amp;12&amp;A&amp;R&amp;T</oddHeader>
    <oddFooter>&amp;LC:\Documents and Settings\Norm Collins\My Documents\Norm\Financial Assessment Base.xls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28" sqref="G28"/>
    </sheetView>
  </sheetViews>
  <sheetFormatPr defaultColWidth="9.140625" defaultRowHeight="12.75"/>
  <sheetData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&amp;L&amp;D&amp;C&amp;"Arial,Bold"&amp;12&amp;A&amp;R&amp;T</oddHeader>
    <oddFooter>&amp;LC:\Documents and Settings\Norm Collins\My Documents\Norm\Financial Assessment Base.xls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pane xSplit="3" ySplit="2" topLeftCell="S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21" sqref="V21"/>
    </sheetView>
  </sheetViews>
  <sheetFormatPr defaultColWidth="9.140625" defaultRowHeight="12.75"/>
  <cols>
    <col min="1" max="1" width="20.7109375" style="61" bestFit="1" customWidth="1"/>
    <col min="2" max="2" width="14.140625" style="61" customWidth="1"/>
    <col min="3" max="3" width="12.57421875" style="61" bestFit="1" customWidth="1"/>
    <col min="4" max="4" width="14.140625" style="61" customWidth="1"/>
    <col min="5" max="5" width="0.9921875" style="61" hidden="1" customWidth="1"/>
    <col min="6" max="6" width="14.00390625" style="61" hidden="1" customWidth="1"/>
    <col min="7" max="7" width="11.7109375" style="61" hidden="1" customWidth="1"/>
    <col min="8" max="8" width="13.28125" style="61" hidden="1" customWidth="1"/>
    <col min="9" max="9" width="0.9921875" style="61" customWidth="1"/>
    <col min="10" max="10" width="15.140625" style="61" bestFit="1" customWidth="1"/>
    <col min="11" max="11" width="13.8515625" style="61" bestFit="1" customWidth="1"/>
    <col min="12" max="12" width="13.28125" style="61" bestFit="1" customWidth="1"/>
    <col min="13" max="13" width="0.9921875" style="61" customWidth="1"/>
    <col min="14" max="14" width="14.8515625" style="61" customWidth="1"/>
    <col min="15" max="15" width="12.57421875" style="61" bestFit="1" customWidth="1"/>
    <col min="16" max="16" width="13.28125" style="61" bestFit="1" customWidth="1"/>
    <col min="17" max="17" width="14.00390625" style="61" bestFit="1" customWidth="1"/>
    <col min="18" max="18" width="12.57421875" style="61" bestFit="1" customWidth="1"/>
    <col min="19" max="19" width="13.28125" style="61" bestFit="1" customWidth="1"/>
    <col min="20" max="20" width="14.00390625" style="61" bestFit="1" customWidth="1"/>
    <col min="21" max="21" width="12.57421875" style="61" bestFit="1" customWidth="1"/>
    <col min="22" max="22" width="13.28125" style="61" bestFit="1" customWidth="1"/>
    <col min="23" max="16384" width="9.140625" style="61" customWidth="1"/>
  </cols>
  <sheetData>
    <row r="1" spans="1:22" ht="14.25">
      <c r="A1" s="64"/>
      <c r="B1" s="79" t="s">
        <v>45</v>
      </c>
      <c r="C1" s="80"/>
      <c r="D1" s="80"/>
      <c r="E1" s="65"/>
      <c r="F1" s="65"/>
      <c r="G1" s="81" t="s">
        <v>44</v>
      </c>
      <c r="H1" s="82"/>
      <c r="I1" s="113"/>
      <c r="J1" s="65"/>
      <c r="K1" s="81" t="s">
        <v>259</v>
      </c>
      <c r="L1" s="82"/>
      <c r="M1" s="113"/>
      <c r="N1" s="65"/>
      <c r="O1" s="81" t="s">
        <v>270</v>
      </c>
      <c r="P1" s="82"/>
      <c r="Q1" s="65"/>
      <c r="R1" s="81" t="s">
        <v>271</v>
      </c>
      <c r="S1" s="82"/>
      <c r="T1" s="65"/>
      <c r="U1" s="81" t="s">
        <v>272</v>
      </c>
      <c r="V1" s="82"/>
    </row>
    <row r="2" spans="1:22" ht="15" thickBot="1">
      <c r="A2" s="73"/>
      <c r="B2" s="83" t="s">
        <v>41</v>
      </c>
      <c r="C2" s="83" t="s">
        <v>42</v>
      </c>
      <c r="D2" s="83" t="s">
        <v>43</v>
      </c>
      <c r="E2" s="74"/>
      <c r="F2" s="83" t="s">
        <v>41</v>
      </c>
      <c r="G2" s="83" t="s">
        <v>42</v>
      </c>
      <c r="H2" s="84" t="s">
        <v>43</v>
      </c>
      <c r="I2" s="113"/>
      <c r="J2" s="83" t="s">
        <v>41</v>
      </c>
      <c r="K2" s="83" t="s">
        <v>42</v>
      </c>
      <c r="L2" s="84" t="s">
        <v>43</v>
      </c>
      <c r="M2" s="113"/>
      <c r="N2" s="83" t="s">
        <v>41</v>
      </c>
      <c r="O2" s="83" t="s">
        <v>42</v>
      </c>
      <c r="P2" s="84" t="s">
        <v>43</v>
      </c>
      <c r="Q2" s="83" t="s">
        <v>41</v>
      </c>
      <c r="R2" s="83" t="s">
        <v>42</v>
      </c>
      <c r="S2" s="84" t="s">
        <v>43</v>
      </c>
      <c r="T2" s="83" t="s">
        <v>41</v>
      </c>
      <c r="U2" s="83" t="s">
        <v>42</v>
      </c>
      <c r="V2" s="84" t="s">
        <v>43</v>
      </c>
    </row>
    <row r="3" spans="9:13" ht="15" thickBot="1">
      <c r="I3" s="113"/>
      <c r="M3" s="113"/>
    </row>
    <row r="4" spans="1:22" ht="15">
      <c r="A4" s="89" t="s">
        <v>260</v>
      </c>
      <c r="B4" s="90">
        <v>10196877</v>
      </c>
      <c r="C4" s="65"/>
      <c r="D4" s="65"/>
      <c r="E4" s="65"/>
      <c r="F4" s="65"/>
      <c r="G4" s="65"/>
      <c r="H4" s="77"/>
      <c r="I4" s="113"/>
      <c r="J4" s="65"/>
      <c r="K4" s="65"/>
      <c r="L4" s="77"/>
      <c r="M4" s="113"/>
      <c r="N4" s="65"/>
      <c r="O4" s="65"/>
      <c r="P4" s="77"/>
      <c r="Q4" s="65"/>
      <c r="R4" s="65"/>
      <c r="S4" s="77"/>
      <c r="T4" s="65"/>
      <c r="U4" s="65"/>
      <c r="V4" s="77"/>
    </row>
    <row r="5" spans="1:22" ht="14.25">
      <c r="A5" s="68"/>
      <c r="B5" s="69"/>
      <c r="C5" s="69"/>
      <c r="D5" s="69"/>
      <c r="E5" s="69"/>
      <c r="F5" s="69"/>
      <c r="G5" s="69"/>
      <c r="H5" s="78"/>
      <c r="I5" s="113"/>
      <c r="J5" s="69" t="s">
        <v>1</v>
      </c>
      <c r="K5" s="69"/>
      <c r="L5" s="78"/>
      <c r="M5" s="113"/>
      <c r="N5" s="69" t="s">
        <v>1</v>
      </c>
      <c r="O5" s="69"/>
      <c r="P5" s="78"/>
      <c r="Q5" s="69" t="s">
        <v>1</v>
      </c>
      <c r="R5" s="69"/>
      <c r="S5" s="78"/>
      <c r="T5" s="69" t="s">
        <v>1</v>
      </c>
      <c r="U5" s="69"/>
      <c r="V5" s="78"/>
    </row>
    <row r="6" spans="1:22" ht="14.25">
      <c r="A6" s="68" t="s">
        <v>38</v>
      </c>
      <c r="B6" s="72">
        <f>1814.92718</f>
        <v>1814.92718</v>
      </c>
      <c r="C6" s="70">
        <v>43.06136</v>
      </c>
      <c r="D6" s="70">
        <f>B6*C6</f>
        <v>78153.2326717648</v>
      </c>
      <c r="E6" s="70"/>
      <c r="F6" s="72">
        <f>1814.92718+23.185</f>
        <v>1838.1121799999999</v>
      </c>
      <c r="G6" s="70">
        <v>45.22</v>
      </c>
      <c r="H6" s="71">
        <f>F6*G6</f>
        <v>83119.43277959999</v>
      </c>
      <c r="I6" s="114"/>
      <c r="J6" s="72">
        <v>904.1502</v>
      </c>
      <c r="K6" s="70">
        <f>K53</f>
        <v>53.2389</v>
      </c>
      <c r="L6" s="71">
        <f>J6*K6</f>
        <v>48135.96208278</v>
      </c>
      <c r="M6" s="113"/>
      <c r="N6" s="72">
        <f>J6</f>
        <v>904.1502</v>
      </c>
      <c r="O6" s="70">
        <v>54.57</v>
      </c>
      <c r="P6" s="71">
        <f>N6*O6</f>
        <v>49339.476414000004</v>
      </c>
      <c r="Q6" s="72">
        <v>109.8559</v>
      </c>
      <c r="R6" s="70">
        <v>60.577</v>
      </c>
      <c r="S6" s="71">
        <f>Q6*R6</f>
        <v>6654.7408543</v>
      </c>
      <c r="T6" s="72">
        <v>109.8559</v>
      </c>
      <c r="U6" s="70">
        <v>65.7197</v>
      </c>
      <c r="V6" s="365">
        <f>T6*U6</f>
        <v>7219.696791230001</v>
      </c>
    </row>
    <row r="7" spans="1:22" ht="14.25">
      <c r="A7" s="68" t="s">
        <v>39</v>
      </c>
      <c r="B7" s="72">
        <f>185.51264</f>
        <v>185.51264</v>
      </c>
      <c r="C7" s="70">
        <v>23.28404</v>
      </c>
      <c r="D7" s="70">
        <f>B7*C7</f>
        <v>4319.483730265601</v>
      </c>
      <c r="E7" s="70"/>
      <c r="F7" s="72">
        <f>185.51264</f>
        <v>185.51264</v>
      </c>
      <c r="G7" s="70">
        <v>24.03</v>
      </c>
      <c r="H7" s="71">
        <f>F7*G7</f>
        <v>4457.8687392</v>
      </c>
      <c r="I7" s="114"/>
      <c r="J7" s="72">
        <v>185.5127</v>
      </c>
      <c r="K7" s="70">
        <f>K23</f>
        <v>26.6239</v>
      </c>
      <c r="L7" s="71">
        <f>J7*K7</f>
        <v>4939.07157353</v>
      </c>
      <c r="M7" s="113"/>
      <c r="N7" s="72">
        <f>J7</f>
        <v>185.5127</v>
      </c>
      <c r="O7" s="70">
        <v>26.98</v>
      </c>
      <c r="P7" s="71">
        <f>N7*O7</f>
        <v>5005.132646</v>
      </c>
      <c r="Q7" s="72">
        <f>185.5127</f>
        <v>185.5127</v>
      </c>
      <c r="R7" s="70">
        <v>30.3258</v>
      </c>
      <c r="S7" s="71">
        <f>Q7*R7</f>
        <v>5625.82103766</v>
      </c>
      <c r="T7" s="72">
        <f>185.5127</f>
        <v>185.5127</v>
      </c>
      <c r="U7" s="70">
        <v>33.1361</v>
      </c>
      <c r="V7" s="365">
        <f>T7*U7</f>
        <v>6147.16737847</v>
      </c>
    </row>
    <row r="8" spans="1:22" ht="14.25">
      <c r="A8" s="68" t="s">
        <v>40</v>
      </c>
      <c r="B8" s="72">
        <f>2430.4526</f>
        <v>2430.4526</v>
      </c>
      <c r="C8" s="70">
        <v>23.3133</v>
      </c>
      <c r="D8" s="70">
        <f>B8*C8</f>
        <v>56661.870599580005</v>
      </c>
      <c r="E8" s="70"/>
      <c r="F8" s="72">
        <f>2430.4526</f>
        <v>2430.4526</v>
      </c>
      <c r="G8" s="70">
        <v>22.56</v>
      </c>
      <c r="H8" s="71">
        <f>F8*G8</f>
        <v>54831.010656</v>
      </c>
      <c r="I8" s="114"/>
      <c r="J8" s="72">
        <v>3705.2971</v>
      </c>
      <c r="K8" s="70">
        <f>K24</f>
        <v>23.6191</v>
      </c>
      <c r="L8" s="71">
        <f>J8*K8</f>
        <v>87515.78273461</v>
      </c>
      <c r="M8" s="113"/>
      <c r="N8" s="72">
        <f>J8</f>
        <v>3705.2971</v>
      </c>
      <c r="O8" s="70">
        <v>23.79</v>
      </c>
      <c r="P8" s="71">
        <f>N8*O8</f>
        <v>88149.01800899999</v>
      </c>
      <c r="Q8" s="72">
        <v>1835.2971</v>
      </c>
      <c r="R8" s="70">
        <v>26.5206</v>
      </c>
      <c r="S8" s="71">
        <f>Q8*R8</f>
        <v>48673.18027026</v>
      </c>
      <c r="T8" s="72">
        <v>635.2971</v>
      </c>
      <c r="U8" s="70">
        <v>27.4125</v>
      </c>
      <c r="V8" s="365">
        <f>T8*U8</f>
        <v>17415.08175375</v>
      </c>
    </row>
    <row r="9" spans="1:22" ht="14.25">
      <c r="A9" s="68"/>
      <c r="B9" s="72"/>
      <c r="C9" s="70"/>
      <c r="D9" s="70"/>
      <c r="E9" s="70"/>
      <c r="F9" s="70"/>
      <c r="G9" s="70"/>
      <c r="H9" s="71"/>
      <c r="I9" s="114"/>
      <c r="J9" s="70"/>
      <c r="K9" s="70"/>
      <c r="L9" s="71"/>
      <c r="M9" s="113"/>
      <c r="N9" s="70"/>
      <c r="O9" s="70"/>
      <c r="P9" s="71"/>
      <c r="Q9" s="70"/>
      <c r="R9" s="70"/>
      <c r="S9" s="71"/>
      <c r="T9" s="70"/>
      <c r="U9" s="70"/>
      <c r="V9" s="71"/>
    </row>
    <row r="10" spans="1:22" ht="15.75" thickBot="1">
      <c r="A10" s="73"/>
      <c r="B10" s="74"/>
      <c r="C10" s="75"/>
      <c r="D10" s="75">
        <f>SUM(D6:D8)</f>
        <v>139134.5870016104</v>
      </c>
      <c r="E10" s="75"/>
      <c r="F10" s="75"/>
      <c r="G10" s="75"/>
      <c r="H10" s="76">
        <f>SUM(H6:H8)</f>
        <v>142408.31217479997</v>
      </c>
      <c r="I10" s="114"/>
      <c r="J10" s="75"/>
      <c r="K10" s="75"/>
      <c r="L10" s="88">
        <f>SUM(L6:L8)</f>
        <v>140590.81639092</v>
      </c>
      <c r="M10" s="113"/>
      <c r="N10" s="75"/>
      <c r="O10" s="75"/>
      <c r="P10" s="366">
        <f>SUM(P6:P8)</f>
        <v>142493.62706899998</v>
      </c>
      <c r="Q10" s="75"/>
      <c r="R10" s="75"/>
      <c r="S10" s="88">
        <f>SUM(S6:S8)</f>
        <v>60953.742162220005</v>
      </c>
      <c r="T10" s="75"/>
      <c r="U10" s="75"/>
      <c r="V10" s="88">
        <f>SUM(V6:V8)</f>
        <v>30781.945923450003</v>
      </c>
    </row>
    <row r="11" spans="3:22" ht="15" thickBot="1">
      <c r="C11" s="63"/>
      <c r="D11" s="63"/>
      <c r="E11" s="63"/>
      <c r="F11" s="63"/>
      <c r="G11" s="63"/>
      <c r="H11" s="63"/>
      <c r="I11" s="114"/>
      <c r="J11" s="63"/>
      <c r="K11" s="63"/>
      <c r="L11" s="63"/>
      <c r="M11" s="11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.75" hidden="1" thickBot="1">
      <c r="A12" s="89" t="s">
        <v>261</v>
      </c>
      <c r="B12" s="90">
        <v>10230705</v>
      </c>
      <c r="C12" s="66"/>
      <c r="D12" s="66"/>
      <c r="E12" s="66"/>
      <c r="F12" s="66"/>
      <c r="G12" s="66"/>
      <c r="H12" s="67"/>
      <c r="I12" s="114"/>
      <c r="J12" s="367"/>
      <c r="K12" s="367"/>
      <c r="L12" s="368"/>
      <c r="M12" s="113"/>
      <c r="N12" s="369"/>
      <c r="O12" s="369"/>
      <c r="P12" s="370"/>
      <c r="Q12" s="369"/>
      <c r="R12" s="369"/>
      <c r="S12" s="370"/>
      <c r="T12" s="369"/>
      <c r="U12" s="369"/>
      <c r="V12" s="370"/>
    </row>
    <row r="13" spans="1:22" ht="15" hidden="1" thickBot="1">
      <c r="A13" s="68"/>
      <c r="B13" s="69"/>
      <c r="C13" s="70"/>
      <c r="D13" s="70"/>
      <c r="E13" s="70"/>
      <c r="F13" s="70"/>
      <c r="G13" s="70"/>
      <c r="H13" s="71"/>
      <c r="I13" s="114"/>
      <c r="J13" s="371"/>
      <c r="K13" s="371"/>
      <c r="L13" s="372"/>
      <c r="M13" s="113"/>
      <c r="N13" s="373"/>
      <c r="O13" s="373"/>
      <c r="P13" s="374"/>
      <c r="Q13" s="373"/>
      <c r="R13" s="373"/>
      <c r="S13" s="374"/>
      <c r="T13" s="373"/>
      <c r="U13" s="373"/>
      <c r="V13" s="374"/>
    </row>
    <row r="14" spans="1:22" ht="15" hidden="1" thickBot="1">
      <c r="A14" s="68" t="s">
        <v>38</v>
      </c>
      <c r="B14" s="69">
        <v>21.11404</v>
      </c>
      <c r="C14" s="70">
        <v>43.06136</v>
      </c>
      <c r="D14" s="70">
        <f>B14*C14</f>
        <v>909.1992774944</v>
      </c>
      <c r="E14" s="70"/>
      <c r="F14" s="72">
        <f>$B$14-(896.97-$D$15)/42.55718</f>
        <v>5.1641143698478125</v>
      </c>
      <c r="G14" s="70">
        <f>G6</f>
        <v>45.22</v>
      </c>
      <c r="H14" s="71">
        <f>F14*G14</f>
        <v>233.52125180451807</v>
      </c>
      <c r="I14" s="114"/>
      <c r="J14" s="375"/>
      <c r="K14" s="371"/>
      <c r="L14" s="372"/>
      <c r="M14" s="113"/>
      <c r="N14" s="376"/>
      <c r="O14" s="373"/>
      <c r="P14" s="374"/>
      <c r="Q14" s="376"/>
      <c r="R14" s="373"/>
      <c r="S14" s="374"/>
      <c r="T14" s="376"/>
      <c r="U14" s="373"/>
      <c r="V14" s="374"/>
    </row>
    <row r="15" spans="1:22" ht="15" hidden="1" thickBot="1">
      <c r="A15" s="68" t="s">
        <v>40</v>
      </c>
      <c r="B15" s="69">
        <v>9.35887</v>
      </c>
      <c r="C15" s="70">
        <v>23.3133</v>
      </c>
      <c r="D15" s="70">
        <f>B15*C15</f>
        <v>218.186143971</v>
      </c>
      <c r="E15" s="70"/>
      <c r="F15" s="69">
        <v>0</v>
      </c>
      <c r="G15" s="70">
        <f>G8</f>
        <v>22.56</v>
      </c>
      <c r="H15" s="71">
        <f>F15*G15</f>
        <v>0</v>
      </c>
      <c r="I15" s="114"/>
      <c r="J15" s="377"/>
      <c r="K15" s="371"/>
      <c r="L15" s="372"/>
      <c r="M15" s="113"/>
      <c r="N15" s="378"/>
      <c r="O15" s="373"/>
      <c r="P15" s="374"/>
      <c r="Q15" s="378"/>
      <c r="R15" s="373"/>
      <c r="S15" s="374"/>
      <c r="T15" s="378"/>
      <c r="U15" s="373"/>
      <c r="V15" s="374"/>
    </row>
    <row r="16" spans="1:22" ht="15" hidden="1" thickBot="1">
      <c r="A16" s="68"/>
      <c r="B16" s="69"/>
      <c r="C16" s="70"/>
      <c r="D16" s="70"/>
      <c r="E16" s="70"/>
      <c r="F16" s="70"/>
      <c r="G16" s="70"/>
      <c r="H16" s="71"/>
      <c r="I16" s="114"/>
      <c r="J16" s="371"/>
      <c r="K16" s="371"/>
      <c r="L16" s="372"/>
      <c r="M16" s="113"/>
      <c r="N16" s="373"/>
      <c r="O16" s="373"/>
      <c r="P16" s="374"/>
      <c r="Q16" s="373"/>
      <c r="R16" s="373"/>
      <c r="S16" s="374"/>
      <c r="T16" s="373"/>
      <c r="U16" s="373"/>
      <c r="V16" s="374"/>
    </row>
    <row r="17" spans="1:22" ht="15.75" hidden="1" thickBot="1">
      <c r="A17" s="73"/>
      <c r="B17" s="74"/>
      <c r="C17" s="75"/>
      <c r="D17" s="75">
        <f>SUM(D13:D15)</f>
        <v>1127.3854214654</v>
      </c>
      <c r="E17" s="75"/>
      <c r="F17" s="75"/>
      <c r="G17" s="75"/>
      <c r="H17" s="76">
        <f>SUM(H13:H15)</f>
        <v>233.52125180451807</v>
      </c>
      <c r="I17" s="114"/>
      <c r="J17" s="379"/>
      <c r="K17" s="379"/>
      <c r="L17" s="380"/>
      <c r="M17" s="113"/>
      <c r="N17" s="381"/>
      <c r="O17" s="381"/>
      <c r="P17" s="366"/>
      <c r="Q17" s="381"/>
      <c r="R17" s="381"/>
      <c r="S17" s="366"/>
      <c r="T17" s="381"/>
      <c r="U17" s="381"/>
      <c r="V17" s="366"/>
    </row>
    <row r="18" spans="3:22" ht="15" hidden="1" thickBot="1">
      <c r="C18" s="63"/>
      <c r="D18" s="63"/>
      <c r="E18" s="63"/>
      <c r="F18" s="63"/>
      <c r="G18" s="63"/>
      <c r="H18" s="63"/>
      <c r="I18" s="114"/>
      <c r="J18" s="63"/>
      <c r="K18" s="63"/>
      <c r="L18" s="63"/>
      <c r="M18" s="11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5">
      <c r="A19" s="89" t="s">
        <v>262</v>
      </c>
      <c r="B19" s="90">
        <v>10230706</v>
      </c>
      <c r="C19" s="66"/>
      <c r="D19" s="66"/>
      <c r="E19" s="66"/>
      <c r="F19" s="66"/>
      <c r="G19" s="66"/>
      <c r="H19" s="67"/>
      <c r="I19" s="114"/>
      <c r="J19" s="66"/>
      <c r="K19" s="66"/>
      <c r="L19" s="67"/>
      <c r="M19" s="113"/>
      <c r="N19" s="66"/>
      <c r="O19" s="66"/>
      <c r="P19" s="67"/>
      <c r="Q19" s="66"/>
      <c r="R19" s="66"/>
      <c r="S19" s="67"/>
      <c r="T19" s="66"/>
      <c r="U19" s="66"/>
      <c r="V19" s="67"/>
    </row>
    <row r="20" spans="1:22" ht="14.25">
      <c r="A20" s="68"/>
      <c r="B20" s="69"/>
      <c r="C20" s="70"/>
      <c r="D20" s="70"/>
      <c r="E20" s="70"/>
      <c r="F20" s="70"/>
      <c r="G20" s="70"/>
      <c r="H20" s="71"/>
      <c r="I20" s="114"/>
      <c r="J20" s="70"/>
      <c r="K20" s="70"/>
      <c r="L20" s="71"/>
      <c r="M20" s="113"/>
      <c r="N20" s="70"/>
      <c r="O20" s="70"/>
      <c r="P20" s="71"/>
      <c r="Q20" s="70"/>
      <c r="R20" s="70"/>
      <c r="S20" s="71"/>
      <c r="T20" s="70"/>
      <c r="U20" s="70"/>
      <c r="V20" s="71"/>
    </row>
    <row r="21" spans="1:22" ht="14.25">
      <c r="A21" s="68" t="s">
        <v>47</v>
      </c>
      <c r="B21" s="72">
        <v>8.24906</v>
      </c>
      <c r="C21" s="70">
        <v>167.99874</v>
      </c>
      <c r="D21" s="70">
        <f>B21*C21</f>
        <v>1385.8316861844</v>
      </c>
      <c r="E21" s="70"/>
      <c r="F21" s="72">
        <f>B21</f>
        <v>8.24906</v>
      </c>
      <c r="G21" s="70">
        <v>165.29</v>
      </c>
      <c r="H21" s="71">
        <f>F21*G21</f>
        <v>1363.4871274</v>
      </c>
      <c r="I21" s="114"/>
      <c r="J21" s="72">
        <v>8.2492</v>
      </c>
      <c r="K21" s="70">
        <v>162.7328</v>
      </c>
      <c r="L21" s="71">
        <f>J21*K21</f>
        <v>1342.41541376</v>
      </c>
      <c r="M21" s="113"/>
      <c r="N21" s="72">
        <v>8.2492</v>
      </c>
      <c r="O21" s="70">
        <v>154.69</v>
      </c>
      <c r="P21" s="71">
        <f>N21*O21</f>
        <v>1276.068748</v>
      </c>
      <c r="Q21" s="72">
        <v>8.2492</v>
      </c>
      <c r="R21" s="70">
        <v>174.95</v>
      </c>
      <c r="S21" s="71">
        <f>Q21*R21</f>
        <v>1443.19754</v>
      </c>
      <c r="T21" s="72">
        <v>0</v>
      </c>
      <c r="U21" s="70"/>
      <c r="V21" s="365">
        <f>T21*U21</f>
        <v>0</v>
      </c>
    </row>
    <row r="22" spans="1:22" ht="14.25">
      <c r="A22" s="68" t="s">
        <v>38</v>
      </c>
      <c r="B22" s="72">
        <v>48.66822</v>
      </c>
      <c r="C22" s="70">
        <v>43.06136</v>
      </c>
      <c r="D22" s="70">
        <f>B22*C22</f>
        <v>2095.7197419792</v>
      </c>
      <c r="E22" s="70"/>
      <c r="F22" s="72">
        <f>B22+140.987+14.099+171.295+17.13+222.46+22.246+219.423+21.942</f>
        <v>878.25022</v>
      </c>
      <c r="G22" s="70">
        <f>G6</f>
        <v>45.22</v>
      </c>
      <c r="H22" s="71">
        <f>F22*G22+72000+7200</f>
        <v>118914.47494839999</v>
      </c>
      <c r="I22" s="114"/>
      <c r="J22" s="72">
        <f>48.66822+0.0006</f>
        <v>48.66882</v>
      </c>
      <c r="K22" s="70">
        <f>K53</f>
        <v>53.2389</v>
      </c>
      <c r="L22" s="71">
        <f>J22*K22</f>
        <v>2591.074441098</v>
      </c>
      <c r="M22" s="113"/>
      <c r="N22" s="72">
        <v>48.66882</v>
      </c>
      <c r="O22" s="70">
        <f>O6</f>
        <v>54.57</v>
      </c>
      <c r="P22" s="71">
        <f>N22*O22</f>
        <v>2655.8575074</v>
      </c>
      <c r="Q22" s="72">
        <v>48.66882</v>
      </c>
      <c r="R22" s="70">
        <f>R6</f>
        <v>60.577</v>
      </c>
      <c r="S22" s="71">
        <f>Q22*R22</f>
        <v>2948.2111091399997</v>
      </c>
      <c r="T22" s="72">
        <v>0</v>
      </c>
      <c r="U22" s="70">
        <f>U6</f>
        <v>65.7197</v>
      </c>
      <c r="V22" s="365">
        <f>T22*U22</f>
        <v>0</v>
      </c>
    </row>
    <row r="23" spans="1:22" ht="14.25">
      <c r="A23" s="68" t="s">
        <v>39</v>
      </c>
      <c r="B23" s="72">
        <v>62.36669</v>
      </c>
      <c r="C23" s="70">
        <v>23.28404</v>
      </c>
      <c r="D23" s="70">
        <f>B23*C23</f>
        <v>1452.1485046276</v>
      </c>
      <c r="E23" s="70"/>
      <c r="F23" s="72">
        <f>B23</f>
        <v>62.36669</v>
      </c>
      <c r="G23" s="70">
        <f>G7</f>
        <v>24.03</v>
      </c>
      <c r="H23" s="71">
        <f>F23*G23</f>
        <v>1498.6715607</v>
      </c>
      <c r="I23" s="114"/>
      <c r="J23" s="72">
        <v>25.6804</v>
      </c>
      <c r="K23" s="70">
        <f>K55</f>
        <v>26.6239</v>
      </c>
      <c r="L23" s="71">
        <f>J23*K23</f>
        <v>683.71240156</v>
      </c>
      <c r="M23" s="113"/>
      <c r="N23" s="72">
        <v>25.6804</v>
      </c>
      <c r="O23" s="70">
        <f>O7</f>
        <v>26.98</v>
      </c>
      <c r="P23" s="71">
        <f>N23*O23</f>
        <v>692.8571919999999</v>
      </c>
      <c r="Q23" s="72">
        <v>25.6804</v>
      </c>
      <c r="R23" s="70">
        <f>R7</f>
        <v>30.3258</v>
      </c>
      <c r="S23" s="71">
        <f>Q23*R23</f>
        <v>778.7786743199999</v>
      </c>
      <c r="T23" s="72">
        <v>0</v>
      </c>
      <c r="U23" s="70"/>
      <c r="V23" s="365">
        <f>T23*U23</f>
        <v>0</v>
      </c>
    </row>
    <row r="24" spans="1:22" ht="14.25">
      <c r="A24" s="68" t="s">
        <v>40</v>
      </c>
      <c r="B24" s="72">
        <v>69.95366</v>
      </c>
      <c r="C24" s="70">
        <v>23.3133</v>
      </c>
      <c r="D24" s="70">
        <f>B24*C24</f>
        <v>1630.850661678</v>
      </c>
      <c r="E24" s="70"/>
      <c r="F24" s="72">
        <f>B24+174.174+17.417+108.232+10.823</f>
        <v>380.59966</v>
      </c>
      <c r="G24" s="70">
        <f>G8</f>
        <v>22.56</v>
      </c>
      <c r="H24" s="71">
        <f>F24*G24</f>
        <v>8586.328329599999</v>
      </c>
      <c r="I24" s="114"/>
      <c r="J24" s="72">
        <v>69.95366</v>
      </c>
      <c r="K24" s="70">
        <f>K56</f>
        <v>23.6191</v>
      </c>
      <c r="L24" s="71">
        <f>J24*K24</f>
        <v>1652.242490906</v>
      </c>
      <c r="M24" s="113"/>
      <c r="N24" s="72">
        <v>69.95366</v>
      </c>
      <c r="O24" s="70">
        <f>O8</f>
        <v>23.79</v>
      </c>
      <c r="P24" s="71">
        <f>N24*O24</f>
        <v>1664.1975714</v>
      </c>
      <c r="Q24" s="72">
        <v>69.9546</v>
      </c>
      <c r="R24" s="70">
        <f>R8</f>
        <v>26.5206</v>
      </c>
      <c r="S24" s="71">
        <f>Q24*R24</f>
        <v>1855.23796476</v>
      </c>
      <c r="T24" s="72">
        <v>0</v>
      </c>
      <c r="U24" s="70"/>
      <c r="V24" s="365">
        <f>T24*U24</f>
        <v>0</v>
      </c>
    </row>
    <row r="25" spans="1:22" ht="14.25">
      <c r="A25" s="68"/>
      <c r="B25" s="72"/>
      <c r="C25" s="70"/>
      <c r="D25" s="70"/>
      <c r="E25" s="70"/>
      <c r="F25" s="72"/>
      <c r="G25" s="70"/>
      <c r="H25" s="71"/>
      <c r="I25" s="114"/>
      <c r="J25" s="72"/>
      <c r="K25" s="70"/>
      <c r="L25" s="71"/>
      <c r="M25" s="113"/>
      <c r="N25" s="72"/>
      <c r="O25" s="70"/>
      <c r="P25" s="71"/>
      <c r="Q25" s="72"/>
      <c r="R25" s="70"/>
      <c r="S25" s="71"/>
      <c r="T25" s="72"/>
      <c r="U25" s="70"/>
      <c r="V25" s="71"/>
    </row>
    <row r="26" spans="1:22" ht="15">
      <c r="A26" s="68"/>
      <c r="B26" s="72"/>
      <c r="C26" s="70"/>
      <c r="D26" s="70"/>
      <c r="E26" s="70"/>
      <c r="F26" s="72"/>
      <c r="G26" s="70" t="s">
        <v>1</v>
      </c>
      <c r="H26" s="71"/>
      <c r="I26" s="114"/>
      <c r="J26" s="72"/>
      <c r="K26" s="70"/>
      <c r="L26" s="87">
        <f>SUM(L21:L24)</f>
        <v>6269.444747324001</v>
      </c>
      <c r="M26" s="113"/>
      <c r="N26" s="72"/>
      <c r="O26" s="70"/>
      <c r="P26" s="87">
        <f>SUM(P21:P24)</f>
        <v>6288.981018799999</v>
      </c>
      <c r="Q26" s="72"/>
      <c r="R26" s="70"/>
      <c r="S26" s="87">
        <f>SUM(S21:S24)</f>
        <v>7025.425288219999</v>
      </c>
      <c r="T26" s="72"/>
      <c r="U26" s="70"/>
      <c r="V26" s="87">
        <f>SUM(V21:V24)</f>
        <v>0</v>
      </c>
    </row>
    <row r="27" spans="1:22" ht="14.25">
      <c r="A27" s="68"/>
      <c r="B27" s="72"/>
      <c r="C27" s="70"/>
      <c r="D27" s="70"/>
      <c r="E27" s="70"/>
      <c r="F27" s="72"/>
      <c r="G27" s="70"/>
      <c r="H27" s="71"/>
      <c r="I27" s="114"/>
      <c r="J27" s="72"/>
      <c r="K27" s="70"/>
      <c r="L27" s="71"/>
      <c r="M27" s="113"/>
      <c r="N27" s="72"/>
      <c r="O27" s="70"/>
      <c r="P27" s="71"/>
      <c r="Q27" s="72"/>
      <c r="R27" s="70"/>
      <c r="S27" s="71"/>
      <c r="T27" s="72"/>
      <c r="U27" s="70"/>
      <c r="V27" s="71"/>
    </row>
    <row r="28" spans="1:22" ht="14.25" hidden="1">
      <c r="A28" s="68" t="s">
        <v>263</v>
      </c>
      <c r="B28" s="72"/>
      <c r="C28" s="70"/>
      <c r="D28" s="70"/>
      <c r="E28" s="70"/>
      <c r="F28" s="72">
        <f>944.179</f>
        <v>944.179</v>
      </c>
      <c r="G28" s="70">
        <v>29.02</v>
      </c>
      <c r="H28" s="71">
        <f>F28*G28</f>
        <v>27400.07458</v>
      </c>
      <c r="I28" s="114"/>
      <c r="J28" s="72">
        <f>944.1791</f>
        <v>944.1791</v>
      </c>
      <c r="K28" s="70">
        <v>29.8367</v>
      </c>
      <c r="L28" s="71">
        <f>J28*K28</f>
        <v>28171.188552969998</v>
      </c>
      <c r="M28" s="113"/>
      <c r="N28" s="72"/>
      <c r="O28" s="70"/>
      <c r="P28" s="71"/>
      <c r="Q28" s="72"/>
      <c r="R28" s="70"/>
      <c r="S28" s="71"/>
      <c r="T28" s="72"/>
      <c r="U28" s="70"/>
      <c r="V28" s="71"/>
    </row>
    <row r="29" spans="1:22" ht="14.25">
      <c r="A29" s="68" t="s">
        <v>38</v>
      </c>
      <c r="B29" s="72"/>
      <c r="C29" s="112">
        <f>380.59966-380.60025</f>
        <v>-0.0005900000000451655</v>
      </c>
      <c r="D29" s="70"/>
      <c r="E29" s="70"/>
      <c r="F29" s="72"/>
      <c r="G29" s="70"/>
      <c r="H29" s="71"/>
      <c r="I29" s="114"/>
      <c r="J29" s="72">
        <f>140.987+14.099+171.295+17.13+222.46+22.246+219.423+21.942+1592.244+159.224-0.00033-588.21659</f>
        <v>1992.8330800000003</v>
      </c>
      <c r="K29" s="70">
        <f>K53</f>
        <v>53.2389</v>
      </c>
      <c r="L29" s="71">
        <f>J29*K29-0.01</f>
        <v>106096.23106281203</v>
      </c>
      <c r="M29" s="113"/>
      <c r="N29" s="72">
        <f>1992.83308-241.365</f>
        <v>1751.46808</v>
      </c>
      <c r="O29" s="70">
        <f>O6</f>
        <v>54.57</v>
      </c>
      <c r="P29" s="71">
        <f>N29*O29-0.01</f>
        <v>95577.60312560001</v>
      </c>
      <c r="Q29" s="72">
        <f>1992.83308-241.365-851.2706</f>
        <v>900.1974800000002</v>
      </c>
      <c r="R29" s="70">
        <f>R6</f>
        <v>60.577</v>
      </c>
      <c r="S29" s="71">
        <f>Q29*R29</f>
        <v>54531.262745960004</v>
      </c>
      <c r="T29" s="72">
        <v>0</v>
      </c>
      <c r="U29" s="70">
        <f>U6</f>
        <v>65.7197</v>
      </c>
      <c r="V29" s="365">
        <f>T29*U29</f>
        <v>0</v>
      </c>
    </row>
    <row r="30" spans="1:22" ht="14.25" hidden="1">
      <c r="A30" s="68" t="s">
        <v>48</v>
      </c>
      <c r="B30" s="72"/>
      <c r="C30" s="70"/>
      <c r="D30" s="70"/>
      <c r="E30" s="70"/>
      <c r="F30" s="72"/>
      <c r="G30" s="86" t="s">
        <v>1</v>
      </c>
      <c r="H30" s="71"/>
      <c r="I30" s="114"/>
      <c r="J30" s="72">
        <f>174.174+17.417+108.232+10.823+0.00059+0.00035</f>
        <v>310.64694</v>
      </c>
      <c r="K30" s="70">
        <f>K56</f>
        <v>23.6191</v>
      </c>
      <c r="L30" s="71">
        <f>J30*K30</f>
        <v>7337.201140553999</v>
      </c>
      <c r="M30" s="113"/>
      <c r="N30" s="72"/>
      <c r="O30" s="70"/>
      <c r="P30" s="71"/>
      <c r="Q30" s="72"/>
      <c r="R30" s="70"/>
      <c r="S30" s="71"/>
      <c r="T30" s="72"/>
      <c r="U30" s="70"/>
      <c r="V30" s="71"/>
    </row>
    <row r="31" spans="1:22" ht="14.25">
      <c r="A31" s="68"/>
      <c r="B31" s="72"/>
      <c r="C31" s="70"/>
      <c r="D31" s="70"/>
      <c r="E31" s="70"/>
      <c r="F31" s="72"/>
      <c r="G31" s="86"/>
      <c r="H31" s="71"/>
      <c r="I31" s="114"/>
      <c r="J31" s="72" t="s">
        <v>1</v>
      </c>
      <c r="K31" s="70"/>
      <c r="L31" s="71"/>
      <c r="M31" s="113"/>
      <c r="N31" s="72" t="s">
        <v>1</v>
      </c>
      <c r="O31" s="70"/>
      <c r="P31" s="71"/>
      <c r="Q31" s="72" t="s">
        <v>1</v>
      </c>
      <c r="R31" s="70"/>
      <c r="S31" s="71"/>
      <c r="T31" s="72" t="s">
        <v>1</v>
      </c>
      <c r="U31" s="70"/>
      <c r="V31" s="71"/>
    </row>
    <row r="32" spans="1:22" ht="15">
      <c r="A32" s="68"/>
      <c r="B32" s="72"/>
      <c r="C32" s="70"/>
      <c r="D32" s="70"/>
      <c r="E32" s="70"/>
      <c r="F32" s="72"/>
      <c r="G32" s="70"/>
      <c r="H32" s="71"/>
      <c r="I32" s="114"/>
      <c r="J32" s="72"/>
      <c r="K32" s="70"/>
      <c r="L32" s="87">
        <f>SUM(L28:L30)</f>
        <v>141604.62075633605</v>
      </c>
      <c r="M32" s="113"/>
      <c r="N32" s="72"/>
      <c r="O32" s="70"/>
      <c r="P32" s="87">
        <f>SUM(P28:P30)</f>
        <v>95577.60312560001</v>
      </c>
      <c r="Q32" s="72"/>
      <c r="R32" s="70"/>
      <c r="S32" s="87">
        <f>SUM(S28:S30)</f>
        <v>54531.262745960004</v>
      </c>
      <c r="T32" s="72"/>
      <c r="U32" s="70"/>
      <c r="V32" s="87">
        <f>SUM(V28:V30)</f>
        <v>0</v>
      </c>
    </row>
    <row r="33" spans="1:22" ht="14.25">
      <c r="A33" s="68"/>
      <c r="B33" s="72"/>
      <c r="C33" s="70"/>
      <c r="D33" s="70"/>
      <c r="E33" s="70"/>
      <c r="F33" s="70"/>
      <c r="G33" s="70"/>
      <c r="H33" s="71"/>
      <c r="I33" s="114"/>
      <c r="J33" s="70"/>
      <c r="K33" s="70"/>
      <c r="L33" s="71"/>
      <c r="M33" s="113"/>
      <c r="N33" s="70"/>
      <c r="O33" s="70"/>
      <c r="P33" s="71"/>
      <c r="Q33" s="70"/>
      <c r="R33" s="70"/>
      <c r="S33" s="71"/>
      <c r="T33" s="70"/>
      <c r="U33" s="70"/>
      <c r="V33" s="71"/>
    </row>
    <row r="34" spans="1:22" ht="15.75" thickBot="1">
      <c r="A34" s="73"/>
      <c r="B34" s="74"/>
      <c r="C34" s="75"/>
      <c r="D34" s="75">
        <f>SUM(D21:D24)</f>
        <v>6564.5505944691995</v>
      </c>
      <c r="E34" s="75"/>
      <c r="F34" s="75"/>
      <c r="G34" s="75"/>
      <c r="H34" s="76">
        <f>SUM(H21:H28)</f>
        <v>157763.0365461</v>
      </c>
      <c r="I34" s="114"/>
      <c r="J34" s="75"/>
      <c r="K34" s="75"/>
      <c r="L34" s="88">
        <f>L26+L32</f>
        <v>147874.06550366007</v>
      </c>
      <c r="M34" s="113"/>
      <c r="N34" s="75"/>
      <c r="O34" s="75"/>
      <c r="P34" s="88">
        <f>P26+P32</f>
        <v>101866.58414440001</v>
      </c>
      <c r="Q34" s="75"/>
      <c r="R34" s="75"/>
      <c r="S34" s="88">
        <f>S26+S32</f>
        <v>61556.688034180006</v>
      </c>
      <c r="T34" s="75"/>
      <c r="U34" s="75"/>
      <c r="V34" s="88">
        <f>V26+V32</f>
        <v>0</v>
      </c>
    </row>
    <row r="35" spans="1:22" ht="14.25">
      <c r="A35" s="68"/>
      <c r="B35" s="69"/>
      <c r="C35" s="70"/>
      <c r="D35" s="70"/>
      <c r="E35" s="70"/>
      <c r="F35" s="70"/>
      <c r="G35" s="70"/>
      <c r="H35" s="71"/>
      <c r="I35" s="114"/>
      <c r="J35" s="70"/>
      <c r="K35" s="70"/>
      <c r="L35" s="71"/>
      <c r="M35" s="113"/>
      <c r="N35" s="70"/>
      <c r="O35" s="70"/>
      <c r="P35" s="71"/>
      <c r="Q35" s="70"/>
      <c r="R35" s="70"/>
      <c r="S35" s="71"/>
      <c r="T35" s="70"/>
      <c r="U35" s="70"/>
      <c r="V35" s="71"/>
    </row>
    <row r="36" spans="1:22" ht="14.25">
      <c r="A36" s="68" t="s">
        <v>46</v>
      </c>
      <c r="B36" s="69"/>
      <c r="C36" s="85"/>
      <c r="D36" s="70"/>
      <c r="E36" s="70"/>
      <c r="F36" s="70"/>
      <c r="G36" s="70"/>
      <c r="H36" s="71"/>
      <c r="I36" s="114"/>
      <c r="J36" s="70"/>
      <c r="K36" s="70"/>
      <c r="L36" s="71"/>
      <c r="M36" s="113"/>
      <c r="N36" s="70"/>
      <c r="O36" s="70"/>
      <c r="P36" s="71"/>
      <c r="Q36" s="70"/>
      <c r="R36" s="70"/>
      <c r="S36" s="71"/>
      <c r="T36" s="70"/>
      <c r="U36" s="70"/>
      <c r="V36" s="71"/>
    </row>
    <row r="37" spans="1:22" ht="14.25">
      <c r="A37" s="68"/>
      <c r="B37" s="69"/>
      <c r="C37" s="85"/>
      <c r="D37" s="70">
        <v>574.95</v>
      </c>
      <c r="E37" s="70"/>
      <c r="F37" s="70"/>
      <c r="G37" s="70"/>
      <c r="H37" s="71"/>
      <c r="I37" s="114"/>
      <c r="J37" s="70"/>
      <c r="K37" s="70"/>
      <c r="L37" s="71">
        <v>2297.72</v>
      </c>
      <c r="M37" s="113"/>
      <c r="N37" s="70"/>
      <c r="O37" s="70"/>
      <c r="P37" s="71"/>
      <c r="Q37" s="70"/>
      <c r="R37" s="70"/>
      <c r="S37" s="71"/>
      <c r="T37" s="70"/>
      <c r="U37" s="70"/>
      <c r="V37" s="365">
        <v>0.33</v>
      </c>
    </row>
    <row r="38" spans="1:22" ht="14.25">
      <c r="A38" s="68"/>
      <c r="B38" s="69"/>
      <c r="C38" s="261">
        <v>0.029</v>
      </c>
      <c r="D38" s="70">
        <v>2233.09</v>
      </c>
      <c r="E38" s="70"/>
      <c r="F38" s="70"/>
      <c r="G38" s="70"/>
      <c r="H38" s="71">
        <f aca="true" t="shared" si="0" ref="H38:H47">D38*(1+C38)^0.25</f>
        <v>2249.106757626476</v>
      </c>
      <c r="I38" s="114"/>
      <c r="J38" s="70"/>
      <c r="K38" s="70"/>
      <c r="L38" s="71"/>
      <c r="M38" s="113"/>
      <c r="N38" s="70"/>
      <c r="O38" s="70"/>
      <c r="P38" s="71"/>
      <c r="Q38" s="70"/>
      <c r="R38" s="70"/>
      <c r="S38" s="71"/>
      <c r="T38" s="70"/>
      <c r="U38" s="70"/>
      <c r="V38" s="71"/>
    </row>
    <row r="39" spans="1:22" ht="14.25">
      <c r="A39" s="68"/>
      <c r="B39" s="69"/>
      <c r="C39" s="261">
        <v>0.0335</v>
      </c>
      <c r="D39" s="70">
        <v>2151.64</v>
      </c>
      <c r="E39" s="70"/>
      <c r="F39" s="70"/>
      <c r="G39" s="70"/>
      <c r="H39" s="71">
        <f t="shared" si="0"/>
        <v>2169.437933312908</v>
      </c>
      <c r="I39" s="114"/>
      <c r="J39" s="70"/>
      <c r="K39" s="70"/>
      <c r="L39" s="71">
        <v>2223.75</v>
      </c>
      <c r="M39" s="113"/>
      <c r="N39" s="70"/>
      <c r="O39" s="70"/>
      <c r="P39" s="71">
        <v>2260.38</v>
      </c>
      <c r="Q39" s="70"/>
      <c r="R39" s="70"/>
      <c r="S39" s="71">
        <v>2298.16</v>
      </c>
      <c r="T39" s="70"/>
      <c r="U39" s="70"/>
      <c r="V39" s="71"/>
    </row>
    <row r="40" spans="1:22" ht="14.25">
      <c r="A40" s="68"/>
      <c r="B40" s="69"/>
      <c r="C40" s="261">
        <v>0.0385</v>
      </c>
      <c r="D40" s="70">
        <v>2051.09</v>
      </c>
      <c r="E40" s="70"/>
      <c r="F40" s="70"/>
      <c r="G40" s="70"/>
      <c r="H40" s="71">
        <f t="shared" si="0"/>
        <v>2070.5529562845386</v>
      </c>
      <c r="I40" s="114"/>
      <c r="J40" s="70"/>
      <c r="K40" s="70"/>
      <c r="L40" s="71">
        <v>2130.09</v>
      </c>
      <c r="M40" s="113"/>
      <c r="N40" s="70"/>
      <c r="O40" s="70"/>
      <c r="P40" s="71">
        <v>2170.36</v>
      </c>
      <c r="Q40" s="70"/>
      <c r="R40" s="70"/>
      <c r="S40" s="71">
        <v>2212.1</v>
      </c>
      <c r="T40" s="70"/>
      <c r="U40" s="70"/>
      <c r="V40" s="365">
        <v>2253.93</v>
      </c>
    </row>
    <row r="41" spans="1:22" ht="14.25">
      <c r="A41" s="68"/>
      <c r="B41" s="69"/>
      <c r="C41" s="261">
        <v>0.0415</v>
      </c>
      <c r="D41" s="70">
        <v>1952.5</v>
      </c>
      <c r="E41" s="70"/>
      <c r="F41" s="70"/>
      <c r="G41" s="70"/>
      <c r="H41" s="71">
        <f t="shared" si="0"/>
        <v>1972.4493555755864</v>
      </c>
      <c r="I41" s="114"/>
      <c r="J41" s="70"/>
      <c r="K41" s="70"/>
      <c r="L41" s="71">
        <v>2033.56</v>
      </c>
      <c r="M41" s="113"/>
      <c r="N41" s="70"/>
      <c r="O41" s="70"/>
      <c r="P41" s="71">
        <v>2074.98</v>
      </c>
      <c r="Q41" s="70"/>
      <c r="R41" s="70"/>
      <c r="S41" s="71">
        <v>2117.96</v>
      </c>
      <c r="T41" s="70"/>
      <c r="U41" s="70"/>
      <c r="V41" s="365">
        <v>2161.1</v>
      </c>
    </row>
    <row r="42" spans="1:22" ht="14.25">
      <c r="A42" s="68"/>
      <c r="B42" s="69"/>
      <c r="C42" s="261">
        <v>0.045</v>
      </c>
      <c r="D42" s="70">
        <v>41915.61</v>
      </c>
      <c r="E42" s="70"/>
      <c r="F42" s="70"/>
      <c r="G42" s="70"/>
      <c r="H42" s="71">
        <f t="shared" si="0"/>
        <v>42379.40582641602</v>
      </c>
      <c r="I42" s="114"/>
      <c r="J42" s="70"/>
      <c r="K42" s="70"/>
      <c r="L42" s="71">
        <v>43802.53</v>
      </c>
      <c r="M42" s="113"/>
      <c r="N42" s="70"/>
      <c r="O42" s="70"/>
      <c r="P42" s="71">
        <v>44769.03</v>
      </c>
      <c r="Q42" s="70"/>
      <c r="R42" s="70"/>
      <c r="S42" s="71">
        <v>45773.81</v>
      </c>
      <c r="T42" s="70"/>
      <c r="U42" s="70"/>
      <c r="V42" s="365">
        <v>46783.93</v>
      </c>
    </row>
    <row r="43" spans="1:22" ht="14.25">
      <c r="A43" s="68"/>
      <c r="B43" s="69"/>
      <c r="C43" s="261">
        <v>0.045</v>
      </c>
      <c r="D43" s="70">
        <v>1764.11</v>
      </c>
      <c r="E43" s="70"/>
      <c r="F43" s="70"/>
      <c r="G43" s="70"/>
      <c r="H43" s="71">
        <f t="shared" si="0"/>
        <v>1783.6298603894531</v>
      </c>
      <c r="I43" s="114"/>
      <c r="J43" s="70"/>
      <c r="K43" s="70"/>
      <c r="L43" s="71">
        <v>1843.53</v>
      </c>
      <c r="M43" s="113"/>
      <c r="N43" s="70"/>
      <c r="O43" s="70"/>
      <c r="P43" s="71">
        <v>1884.21</v>
      </c>
      <c r="Q43" s="70"/>
      <c r="R43" s="70"/>
      <c r="S43" s="71">
        <v>1926.49</v>
      </c>
      <c r="T43" s="70"/>
      <c r="U43" s="70"/>
      <c r="V43" s="365">
        <v>1969.01</v>
      </c>
    </row>
    <row r="44" spans="1:22" ht="14.25">
      <c r="A44" s="68"/>
      <c r="B44" s="69"/>
      <c r="C44" s="261">
        <v>0.0455</v>
      </c>
      <c r="D44" s="70">
        <v>1682.5</v>
      </c>
      <c r="E44" s="70"/>
      <c r="F44" s="70"/>
      <c r="G44" s="70"/>
      <c r="H44" s="71">
        <f t="shared" si="0"/>
        <v>1701.3202928912967</v>
      </c>
      <c r="I44" s="114"/>
      <c r="J44" s="70"/>
      <c r="K44" s="70"/>
      <c r="L44" s="71">
        <v>1759.08</v>
      </c>
      <c r="M44" s="113"/>
      <c r="N44" s="70"/>
      <c r="O44" s="70"/>
      <c r="P44" s="71">
        <v>1798.32</v>
      </c>
      <c r="Q44" s="70"/>
      <c r="R44" s="70"/>
      <c r="S44" s="71">
        <v>1839.13</v>
      </c>
      <c r="T44" s="70"/>
      <c r="U44" s="70"/>
      <c r="V44" s="365">
        <v>1880.16</v>
      </c>
    </row>
    <row r="45" spans="1:22" ht="14.25">
      <c r="A45" s="68"/>
      <c r="B45" s="69"/>
      <c r="C45" s="261">
        <v>0.04708</v>
      </c>
      <c r="D45" s="70">
        <v>1591.13</v>
      </c>
      <c r="E45" s="70"/>
      <c r="F45" s="70"/>
      <c r="G45" s="70"/>
      <c r="H45" s="71">
        <f t="shared" si="0"/>
        <v>1609.535760777791</v>
      </c>
      <c r="I45" s="114"/>
      <c r="J45" s="70"/>
      <c r="K45" s="70"/>
      <c r="L45" s="71">
        <v>1666.07</v>
      </c>
      <c r="M45" s="113"/>
      <c r="N45" s="70"/>
      <c r="O45" s="70"/>
      <c r="P45" s="71">
        <v>1704.51</v>
      </c>
      <c r="Q45" s="70"/>
      <c r="R45" s="70"/>
      <c r="S45" s="71">
        <v>1744.51</v>
      </c>
      <c r="T45" s="70"/>
      <c r="U45" s="70"/>
      <c r="V45" s="365">
        <v>1784.77</v>
      </c>
    </row>
    <row r="46" spans="1:22" ht="14.25">
      <c r="A46" s="68"/>
      <c r="B46" s="69"/>
      <c r="C46" s="261">
        <v>0.0495</v>
      </c>
      <c r="D46" s="70">
        <v>1486.82</v>
      </c>
      <c r="E46" s="70"/>
      <c r="F46" s="70"/>
      <c r="G46" s="70"/>
      <c r="H46" s="71">
        <f t="shared" si="0"/>
        <v>1504.8873969937642</v>
      </c>
      <c r="I46" s="114"/>
      <c r="J46" s="70"/>
      <c r="K46" s="70"/>
      <c r="L46" s="71">
        <v>1560.45</v>
      </c>
      <c r="M46" s="113"/>
      <c r="N46" s="70"/>
      <c r="O46" s="70"/>
      <c r="P46" s="71">
        <v>1598.28</v>
      </c>
      <c r="Q46" s="70"/>
      <c r="R46" s="70"/>
      <c r="S46" s="71">
        <v>1637.7</v>
      </c>
      <c r="T46" s="70"/>
      <c r="U46" s="70"/>
      <c r="V46" s="365">
        <v>1677.41</v>
      </c>
    </row>
    <row r="47" spans="1:22" ht="14.25">
      <c r="A47" s="68"/>
      <c r="B47" s="69"/>
      <c r="C47" s="261">
        <v>0.051</v>
      </c>
      <c r="D47" s="70">
        <v>58777.94</v>
      </c>
      <c r="E47" s="70"/>
      <c r="F47" s="70"/>
      <c r="G47" s="70"/>
      <c r="H47" s="71">
        <f t="shared" si="0"/>
        <v>59513.43809672527</v>
      </c>
      <c r="I47" s="114"/>
      <c r="J47" s="70"/>
      <c r="K47" s="70"/>
      <c r="L47" s="71">
        <v>61776.72</v>
      </c>
      <c r="M47" s="113"/>
      <c r="N47" s="70"/>
      <c r="O47" s="70"/>
      <c r="P47" s="71">
        <v>63319.29</v>
      </c>
      <c r="Q47" s="70"/>
      <c r="R47" s="70"/>
      <c r="S47" s="71">
        <v>64927.65</v>
      </c>
      <c r="T47" s="70"/>
      <c r="U47" s="70"/>
      <c r="V47" s="365">
        <v>66549.11</v>
      </c>
    </row>
    <row r="48" spans="1:22" ht="14.25">
      <c r="A48" s="68"/>
      <c r="B48" s="69"/>
      <c r="C48" s="85"/>
      <c r="D48" s="70"/>
      <c r="E48" s="70"/>
      <c r="F48" s="70"/>
      <c r="G48" s="70"/>
      <c r="H48" s="71"/>
      <c r="I48" s="114"/>
      <c r="J48" s="70"/>
      <c r="K48" s="70"/>
      <c r="L48" s="71"/>
      <c r="M48" s="113"/>
      <c r="N48" s="70"/>
      <c r="O48" s="70"/>
      <c r="P48" s="71"/>
      <c r="Q48" s="70"/>
      <c r="R48" s="70"/>
      <c r="S48" s="71"/>
      <c r="T48" s="70"/>
      <c r="U48" s="70"/>
      <c r="V48" s="71"/>
    </row>
    <row r="49" spans="1:22" ht="15.75" thickBot="1">
      <c r="A49" s="73"/>
      <c r="B49" s="74"/>
      <c r="C49" s="75"/>
      <c r="D49" s="75">
        <f>SUM(D37:D47)</f>
        <v>116181.38</v>
      </c>
      <c r="E49" s="75"/>
      <c r="F49" s="75"/>
      <c r="G49" s="75"/>
      <c r="H49" s="76">
        <f>SUM(H37:H47)</f>
        <v>116953.7642369931</v>
      </c>
      <c r="I49" s="114"/>
      <c r="J49" s="75"/>
      <c r="K49" s="75"/>
      <c r="L49" s="88">
        <f>SUM(L37:L47)</f>
        <v>121093.5</v>
      </c>
      <c r="M49" s="113"/>
      <c r="N49" s="75"/>
      <c r="O49" s="75"/>
      <c r="P49" s="88">
        <f>SUM(P37:P47)+0.14</f>
        <v>121579.5</v>
      </c>
      <c r="Q49" s="75"/>
      <c r="R49" s="75"/>
      <c r="S49" s="88">
        <f>SUM(S37:S47)</f>
        <v>124477.51</v>
      </c>
      <c r="T49" s="75"/>
      <c r="U49" s="75"/>
      <c r="V49" s="88">
        <f>SUM(V37:V47)</f>
        <v>125059.75</v>
      </c>
    </row>
    <row r="50" spans="3:20" ht="15" thickBot="1">
      <c r="C50" s="63"/>
      <c r="D50" s="63"/>
      <c r="E50" s="63"/>
      <c r="F50" s="63"/>
      <c r="G50" s="63"/>
      <c r="H50" s="63"/>
      <c r="I50" s="114"/>
      <c r="J50" s="63"/>
      <c r="M50" s="113"/>
      <c r="N50" s="63"/>
      <c r="Q50" s="63"/>
      <c r="T50" s="63"/>
    </row>
    <row r="51" spans="1:22" ht="15">
      <c r="A51" s="89" t="s">
        <v>264</v>
      </c>
      <c r="B51" s="90">
        <v>10507528</v>
      </c>
      <c r="C51" s="65"/>
      <c r="D51" s="65"/>
      <c r="E51" s="65"/>
      <c r="F51" s="65"/>
      <c r="G51" s="65"/>
      <c r="H51" s="77"/>
      <c r="I51" s="113"/>
      <c r="J51" s="65"/>
      <c r="K51" s="65"/>
      <c r="L51" s="77"/>
      <c r="M51" s="113"/>
      <c r="N51" s="65"/>
      <c r="O51" s="65"/>
      <c r="P51" s="77"/>
      <c r="Q51" s="65"/>
      <c r="R51" s="65"/>
      <c r="S51" s="77"/>
      <c r="T51" s="65"/>
      <c r="U51" s="65"/>
      <c r="V51" s="77"/>
    </row>
    <row r="52" spans="1:22" ht="14.25">
      <c r="A52" s="68"/>
      <c r="B52" s="69"/>
      <c r="C52" s="69"/>
      <c r="D52" s="69"/>
      <c r="E52" s="69"/>
      <c r="F52" s="69"/>
      <c r="G52" s="69"/>
      <c r="H52" s="78"/>
      <c r="I52" s="113"/>
      <c r="J52" s="69"/>
      <c r="K52" s="69"/>
      <c r="L52" s="78"/>
      <c r="M52" s="113"/>
      <c r="N52" s="69"/>
      <c r="O52" s="69"/>
      <c r="P52" s="78"/>
      <c r="Q52" s="69"/>
      <c r="R52" s="69"/>
      <c r="S52" s="78"/>
      <c r="T52" s="69"/>
      <c r="U52" s="69"/>
      <c r="V52" s="78"/>
    </row>
    <row r="53" spans="1:22" ht="14.25">
      <c r="A53" s="68" t="s">
        <v>38</v>
      </c>
      <c r="B53" s="72">
        <v>191.48167</v>
      </c>
      <c r="C53" s="70">
        <v>43.06136</v>
      </c>
      <c r="D53" s="70">
        <f>B53*C53</f>
        <v>8245.4611252712</v>
      </c>
      <c r="E53" s="70"/>
      <c r="F53" s="72">
        <f>B53</f>
        <v>191.48167</v>
      </c>
      <c r="G53" s="70">
        <v>45.22</v>
      </c>
      <c r="H53" s="71">
        <f>F53*G53</f>
        <v>8658.8011174</v>
      </c>
      <c r="I53" s="114"/>
      <c r="J53" s="72">
        <f>B53</f>
        <v>191.48167</v>
      </c>
      <c r="K53" s="70">
        <v>53.2389</v>
      </c>
      <c r="L53" s="71">
        <f>J53*K53</f>
        <v>10194.273480963</v>
      </c>
      <c r="M53" s="113"/>
      <c r="N53" s="72">
        <f>F53</f>
        <v>191.48167</v>
      </c>
      <c r="O53" s="70">
        <f>O6</f>
        <v>54.57</v>
      </c>
      <c r="P53" s="71">
        <f>N53*O53</f>
        <v>10449.1547319</v>
      </c>
      <c r="Q53" s="72">
        <v>191.4818</v>
      </c>
      <c r="R53" s="70">
        <f>R6</f>
        <v>60.577</v>
      </c>
      <c r="S53" s="71">
        <f>Q53*R53</f>
        <v>11599.392998599998</v>
      </c>
      <c r="T53" s="72">
        <v>191.4818</v>
      </c>
      <c r="U53" s="70">
        <f>U6</f>
        <v>65.7197</v>
      </c>
      <c r="V53" s="365">
        <f>T53*U53</f>
        <v>12584.12645146</v>
      </c>
    </row>
    <row r="54" spans="1:22" ht="14.25">
      <c r="A54" s="68" t="s">
        <v>265</v>
      </c>
      <c r="B54" s="72">
        <v>310.08086</v>
      </c>
      <c r="C54" s="70">
        <v>11.25082</v>
      </c>
      <c r="D54" s="70">
        <f>B54*C54</f>
        <v>3488.6639413051994</v>
      </c>
      <c r="E54" s="70"/>
      <c r="F54" s="72">
        <f>B54</f>
        <v>310.08086</v>
      </c>
      <c r="G54" s="70">
        <v>11.01</v>
      </c>
      <c r="H54" s="71">
        <f>F54*G54</f>
        <v>3413.9902685999996</v>
      </c>
      <c r="I54" s="114"/>
      <c r="J54" s="72">
        <v>310.0809</v>
      </c>
      <c r="K54" s="70">
        <v>12.3589</v>
      </c>
      <c r="L54" s="71">
        <f>J54*K54</f>
        <v>3832.25883501</v>
      </c>
      <c r="M54" s="113"/>
      <c r="N54" s="72">
        <f>F54</f>
        <v>310.08086</v>
      </c>
      <c r="O54" s="70">
        <v>12.66</v>
      </c>
      <c r="P54" s="71">
        <f>N54*O54</f>
        <v>3925.6236876</v>
      </c>
      <c r="Q54" s="72">
        <v>310.0809</v>
      </c>
      <c r="R54" s="70">
        <v>14.1651</v>
      </c>
      <c r="S54" s="71">
        <f>Q54*R54</f>
        <v>4392.32695659</v>
      </c>
      <c r="T54" s="72">
        <v>310.0809</v>
      </c>
      <c r="U54" s="70">
        <v>14.3416</v>
      </c>
      <c r="V54" s="365">
        <f>T54*U54</f>
        <v>4447.05623544</v>
      </c>
    </row>
    <row r="55" spans="1:22" ht="14.25">
      <c r="A55" s="68" t="s">
        <v>39</v>
      </c>
      <c r="B55" s="72">
        <v>254.19351</v>
      </c>
      <c r="C55" s="70">
        <v>23.28404</v>
      </c>
      <c r="D55" s="70">
        <f>B55*C55</f>
        <v>5918.6518545804</v>
      </c>
      <c r="E55" s="70"/>
      <c r="F55" s="72">
        <f>B55</f>
        <v>254.19351</v>
      </c>
      <c r="G55" s="70">
        <v>24.03</v>
      </c>
      <c r="H55" s="71">
        <f>F55*G55</f>
        <v>6108.270045300001</v>
      </c>
      <c r="I55" s="114"/>
      <c r="J55" s="72">
        <f>B55</f>
        <v>254.19351</v>
      </c>
      <c r="K55" s="70">
        <v>26.6239</v>
      </c>
      <c r="L55" s="71">
        <f>J55*K55</f>
        <v>6767.622590889</v>
      </c>
      <c r="M55" s="113"/>
      <c r="N55" s="72">
        <f>F55</f>
        <v>254.19351</v>
      </c>
      <c r="O55" s="70">
        <f>O7</f>
        <v>26.98</v>
      </c>
      <c r="P55" s="71">
        <f>N55*O55</f>
        <v>6858.140899800001</v>
      </c>
      <c r="Q55" s="72">
        <v>254.1936</v>
      </c>
      <c r="R55" s="70">
        <f>R7</f>
        <v>30.3258</v>
      </c>
      <c r="S55" s="71">
        <f>Q55*R55</f>
        <v>7708.6242748800005</v>
      </c>
      <c r="T55" s="72">
        <v>254.1936</v>
      </c>
      <c r="U55" s="70">
        <f>U7</f>
        <v>33.1361</v>
      </c>
      <c r="V55" s="365">
        <f>T55*U55</f>
        <v>8422.98454896</v>
      </c>
    </row>
    <row r="56" spans="1:22" ht="14.25">
      <c r="A56" s="68" t="s">
        <v>40</v>
      </c>
      <c r="B56" s="72">
        <v>146.17695</v>
      </c>
      <c r="C56" s="70">
        <v>23.3133</v>
      </c>
      <c r="D56" s="70">
        <f>B56*C56</f>
        <v>3407.8670884350004</v>
      </c>
      <c r="E56" s="70"/>
      <c r="F56" s="72">
        <f>B56</f>
        <v>146.17695</v>
      </c>
      <c r="G56" s="70">
        <v>22.56</v>
      </c>
      <c r="H56" s="71">
        <f>F56*G56</f>
        <v>3297.751992</v>
      </c>
      <c r="I56" s="114"/>
      <c r="J56" s="72">
        <f>B56</f>
        <v>146.17695</v>
      </c>
      <c r="K56" s="70">
        <v>23.6191</v>
      </c>
      <c r="L56" s="71">
        <f>J56*K56</f>
        <v>3452.567999745</v>
      </c>
      <c r="M56" s="113"/>
      <c r="N56" s="72">
        <f>F56</f>
        <v>146.17695</v>
      </c>
      <c r="O56" s="70">
        <f>O8</f>
        <v>23.79</v>
      </c>
      <c r="P56" s="71">
        <f>N56*O56</f>
        <v>3477.5496405</v>
      </c>
      <c r="Q56" s="72">
        <f>N56</f>
        <v>146.17695</v>
      </c>
      <c r="R56" s="70">
        <f>R8</f>
        <v>26.5206</v>
      </c>
      <c r="S56" s="71">
        <f>Q56*R56</f>
        <v>3876.7004201700006</v>
      </c>
      <c r="T56" s="72">
        <f>Q56</f>
        <v>146.17695</v>
      </c>
      <c r="U56" s="70">
        <f>U8</f>
        <v>27.4125</v>
      </c>
      <c r="V56" s="365">
        <f>T56*U56</f>
        <v>4007.075641875</v>
      </c>
    </row>
    <row r="57" spans="1:22" ht="14.25">
      <c r="A57" s="68"/>
      <c r="B57" s="72"/>
      <c r="C57" s="70"/>
      <c r="D57" s="70"/>
      <c r="E57" s="70"/>
      <c r="F57" s="70"/>
      <c r="G57" s="70"/>
      <c r="H57" s="71"/>
      <c r="I57" s="114"/>
      <c r="J57" s="70"/>
      <c r="K57" s="70"/>
      <c r="L57" s="71"/>
      <c r="M57" s="113"/>
      <c r="N57" s="70"/>
      <c r="O57" s="70"/>
      <c r="P57" s="71"/>
      <c r="Q57" s="70"/>
      <c r="R57" s="70"/>
      <c r="S57" s="71"/>
      <c r="T57" s="70"/>
      <c r="U57" s="70"/>
      <c r="V57" s="71"/>
    </row>
    <row r="58" spans="1:22" ht="15.75" thickBot="1">
      <c r="A58" s="68"/>
      <c r="B58" s="69"/>
      <c r="C58" s="70"/>
      <c r="D58" s="70">
        <f>SUM(D53:D56)</f>
        <v>21060.6440095918</v>
      </c>
      <c r="E58" s="70"/>
      <c r="F58" s="70"/>
      <c r="G58" s="70"/>
      <c r="H58" s="71">
        <f>SUM(H53:H56)</f>
        <v>21478.813423300002</v>
      </c>
      <c r="I58" s="114"/>
      <c r="J58" s="70"/>
      <c r="K58" s="70"/>
      <c r="L58" s="87">
        <f>SUM(L53:L56)+0.01</f>
        <v>24246.732906606998</v>
      </c>
      <c r="M58" s="113"/>
      <c r="N58" s="70"/>
      <c r="O58" s="70"/>
      <c r="P58" s="87">
        <f>SUM(P53:P56)+0.01</f>
        <v>24710.478959800002</v>
      </c>
      <c r="Q58" s="70"/>
      <c r="R58" s="70"/>
      <c r="S58" s="87">
        <f>SUM(S53:S56)+0.01</f>
        <v>27577.054650239996</v>
      </c>
      <c r="T58" s="70"/>
      <c r="U58" s="70"/>
      <c r="V58" s="87">
        <f>SUM(V53:V56)</f>
        <v>29461.242877734996</v>
      </c>
    </row>
    <row r="59" spans="1:22" ht="15" thickBot="1">
      <c r="A59" s="93"/>
      <c r="B59" s="94"/>
      <c r="C59" s="95"/>
      <c r="D59" s="95"/>
      <c r="E59" s="95"/>
      <c r="F59" s="95"/>
      <c r="G59" s="95"/>
      <c r="H59" s="95"/>
      <c r="I59" s="115"/>
      <c r="J59" s="95"/>
      <c r="K59" s="94"/>
      <c r="L59" s="96"/>
      <c r="M59" s="113"/>
      <c r="N59" s="95"/>
      <c r="O59" s="94"/>
      <c r="P59" s="96"/>
      <c r="Q59" s="95"/>
      <c r="R59" s="94"/>
      <c r="S59" s="96"/>
      <c r="T59" s="95"/>
      <c r="U59" s="94"/>
      <c r="V59" s="96"/>
    </row>
    <row r="60" spans="1:22" ht="15">
      <c r="A60" s="91" t="s">
        <v>264</v>
      </c>
      <c r="B60" s="92">
        <v>10000210</v>
      </c>
      <c r="C60" s="85"/>
      <c r="D60" s="70"/>
      <c r="E60" s="70"/>
      <c r="F60" s="70"/>
      <c r="G60" s="70"/>
      <c r="H60" s="71"/>
      <c r="I60" s="114"/>
      <c r="J60" s="70"/>
      <c r="K60" s="70"/>
      <c r="L60" s="71"/>
      <c r="M60" s="113"/>
      <c r="N60" s="70"/>
      <c r="O60" s="70"/>
      <c r="P60" s="71"/>
      <c r="Q60" s="70"/>
      <c r="R60" s="70"/>
      <c r="S60" s="71"/>
      <c r="T60" s="70"/>
      <c r="U60" s="70"/>
      <c r="V60" s="71"/>
    </row>
    <row r="61" spans="1:22" ht="14.25">
      <c r="A61" s="68"/>
      <c r="B61" s="69"/>
      <c r="C61" s="85"/>
      <c r="D61" s="70"/>
      <c r="E61" s="70"/>
      <c r="F61" s="70"/>
      <c r="G61" s="70"/>
      <c r="H61" s="71"/>
      <c r="I61" s="114"/>
      <c r="J61" s="70"/>
      <c r="K61" s="70"/>
      <c r="L61" s="71"/>
      <c r="M61" s="113"/>
      <c r="N61" s="70"/>
      <c r="O61" s="70"/>
      <c r="P61" s="71"/>
      <c r="Q61" s="70"/>
      <c r="R61" s="70"/>
      <c r="S61" s="71"/>
      <c r="T61" s="70"/>
      <c r="U61" s="70"/>
      <c r="V61" s="71"/>
    </row>
    <row r="62" spans="1:22" ht="14.25">
      <c r="A62" s="68"/>
      <c r="B62" s="69"/>
      <c r="C62" s="85">
        <v>0.048</v>
      </c>
      <c r="D62" s="70">
        <v>2387.92</v>
      </c>
      <c r="E62" s="70"/>
      <c r="F62" s="70"/>
      <c r="G62" s="70" t="s">
        <v>1</v>
      </c>
      <c r="H62" s="71">
        <f>$D$62*(1+$C$62)^((14+28+31)/365)</f>
        <v>2410.416155705871</v>
      </c>
      <c r="I62" s="114"/>
      <c r="J62" s="70"/>
      <c r="K62" s="70"/>
      <c r="L62" s="71">
        <v>2497.4</v>
      </c>
      <c r="M62" s="113"/>
      <c r="N62" s="70"/>
      <c r="O62" s="70"/>
      <c r="P62" s="71">
        <f>L62*(1+C62)^0.5</f>
        <v>2556.635109764395</v>
      </c>
      <c r="Q62" s="70"/>
      <c r="R62" s="70"/>
      <c r="S62" s="71">
        <f>P62*(1+$C$62)^0.5</f>
        <v>2617.2752</v>
      </c>
      <c r="T62" s="70"/>
      <c r="U62" s="70"/>
      <c r="V62" s="365">
        <v>2678.84</v>
      </c>
    </row>
    <row r="63" spans="1:22" ht="14.25">
      <c r="A63" s="68"/>
      <c r="B63" s="69"/>
      <c r="C63" s="85"/>
      <c r="D63" s="70"/>
      <c r="E63" s="70"/>
      <c r="F63" s="70"/>
      <c r="G63" s="70"/>
      <c r="H63" s="71"/>
      <c r="I63" s="114"/>
      <c r="J63" s="70"/>
      <c r="K63" s="70"/>
      <c r="L63" s="71"/>
      <c r="M63" s="113"/>
      <c r="N63" s="70"/>
      <c r="O63" s="70"/>
      <c r="P63" s="71"/>
      <c r="Q63" s="70"/>
      <c r="R63" s="70"/>
      <c r="S63" s="71"/>
      <c r="T63" s="70"/>
      <c r="U63" s="70"/>
      <c r="V63" s="71"/>
    </row>
    <row r="64" spans="1:22" ht="15.75" thickBot="1">
      <c r="A64" s="68"/>
      <c r="B64" s="69"/>
      <c r="C64" s="70"/>
      <c r="D64" s="70">
        <f>SUM(D61:D63)</f>
        <v>2387.92</v>
      </c>
      <c r="E64" s="70"/>
      <c r="F64" s="70"/>
      <c r="G64" s="70"/>
      <c r="H64" s="71">
        <f>SUM(H61:H63)</f>
        <v>2410.416155705871</v>
      </c>
      <c r="I64" s="114"/>
      <c r="J64" s="70"/>
      <c r="K64" s="70"/>
      <c r="L64" s="87">
        <f>SUM(L61:L63)</f>
        <v>2497.4</v>
      </c>
      <c r="M64" s="113"/>
      <c r="N64" s="70"/>
      <c r="O64" s="70"/>
      <c r="P64" s="87">
        <f>SUM(P61:P63)</f>
        <v>2556.635109764395</v>
      </c>
      <c r="Q64" s="70"/>
      <c r="R64" s="70"/>
      <c r="S64" s="87">
        <f>SUM(S61:S63)</f>
        <v>2617.2752</v>
      </c>
      <c r="T64" s="70"/>
      <c r="U64" s="70"/>
      <c r="V64" s="87">
        <f>SUM(V61:V63)</f>
        <v>2678.84</v>
      </c>
    </row>
    <row r="65" spans="1:22" ht="15" thickBot="1">
      <c r="A65" s="93"/>
      <c r="B65" s="94"/>
      <c r="C65" s="95"/>
      <c r="D65" s="95"/>
      <c r="E65" s="95"/>
      <c r="F65" s="95"/>
      <c r="G65" s="95"/>
      <c r="H65" s="97"/>
      <c r="I65" s="115"/>
      <c r="J65" s="95"/>
      <c r="K65" s="95"/>
      <c r="L65" s="97"/>
      <c r="M65" s="113"/>
      <c r="N65" s="95"/>
      <c r="O65" s="95"/>
      <c r="P65" s="97"/>
      <c r="Q65" s="95"/>
      <c r="R65" s="95"/>
      <c r="S65" s="97"/>
      <c r="T65" s="95"/>
      <c r="U65" s="95"/>
      <c r="V65" s="97"/>
    </row>
    <row r="66" spans="1:22" ht="15">
      <c r="A66" s="91" t="s">
        <v>264</v>
      </c>
      <c r="B66" s="92">
        <v>10505239</v>
      </c>
      <c r="C66" s="85"/>
      <c r="D66" s="70"/>
      <c r="E66" s="70"/>
      <c r="F66" s="70"/>
      <c r="G66" s="70"/>
      <c r="H66" s="71"/>
      <c r="I66" s="114"/>
      <c r="J66" s="70"/>
      <c r="K66" s="70"/>
      <c r="L66" s="71"/>
      <c r="M66" s="113"/>
      <c r="N66" s="70"/>
      <c r="O66" s="70"/>
      <c r="P66" s="71"/>
      <c r="Q66" s="70"/>
      <c r="R66" s="70"/>
      <c r="S66" s="71"/>
      <c r="T66" s="70"/>
      <c r="U66" s="70"/>
      <c r="V66" s="71"/>
    </row>
    <row r="67" spans="1:22" ht="14.25">
      <c r="A67" s="68"/>
      <c r="B67" s="69"/>
      <c r="C67" s="85"/>
      <c r="D67" s="70" t="s">
        <v>1</v>
      </c>
      <c r="E67" s="70"/>
      <c r="F67" s="70"/>
      <c r="G67" s="70"/>
      <c r="H67" s="71"/>
      <c r="I67" s="114"/>
      <c r="J67" s="70"/>
      <c r="K67" s="70"/>
      <c r="L67" s="71" t="s">
        <v>1</v>
      </c>
      <c r="M67" s="113"/>
      <c r="N67" s="70"/>
      <c r="O67" s="70"/>
      <c r="P67" s="71" t="s">
        <v>1</v>
      </c>
      <c r="Q67" s="70"/>
      <c r="R67" s="70"/>
      <c r="S67" s="71" t="s">
        <v>1</v>
      </c>
      <c r="T67" s="70"/>
      <c r="U67" s="70"/>
      <c r="V67" s="71" t="s">
        <v>1</v>
      </c>
    </row>
    <row r="68" spans="1:22" ht="14.25">
      <c r="A68" s="68"/>
      <c r="B68" s="69"/>
      <c r="C68" s="98"/>
      <c r="D68" s="70">
        <v>6371.05</v>
      </c>
      <c r="E68" s="70"/>
      <c r="F68" s="70"/>
      <c r="G68" s="70"/>
      <c r="H68" s="71">
        <f aca="true" t="shared" si="1" ref="H68:H81">D68*(1+C68)^0.25</f>
        <v>6371.05</v>
      </c>
      <c r="I68" s="114"/>
      <c r="J68" s="70"/>
      <c r="K68" s="70" t="s">
        <v>1</v>
      </c>
      <c r="L68" s="71"/>
      <c r="M68" s="113"/>
      <c r="N68" s="70"/>
      <c r="O68" s="70" t="s">
        <v>1</v>
      </c>
      <c r="P68" s="71"/>
      <c r="Q68" s="70"/>
      <c r="R68" s="70" t="s">
        <v>1</v>
      </c>
      <c r="S68" s="71"/>
      <c r="T68" s="70"/>
      <c r="U68" s="70" t="s">
        <v>1</v>
      </c>
      <c r="V68" s="71"/>
    </row>
    <row r="69" spans="1:22" ht="14.25">
      <c r="A69" s="68"/>
      <c r="B69" s="69"/>
      <c r="C69" s="98">
        <v>0.05375</v>
      </c>
      <c r="D69" s="70">
        <v>5884.12</v>
      </c>
      <c r="E69" s="70"/>
      <c r="F69" s="70"/>
      <c r="G69" s="70"/>
      <c r="H69" s="71">
        <f t="shared" si="1"/>
        <v>5961.642345271062</v>
      </c>
      <c r="I69" s="114"/>
      <c r="J69" s="70"/>
      <c r="K69" s="70"/>
      <c r="L69" s="71">
        <v>6199.87</v>
      </c>
      <c r="M69" s="113"/>
      <c r="N69" s="70"/>
      <c r="O69" s="70"/>
      <c r="P69" s="71">
        <v>6362.92</v>
      </c>
      <c r="Q69" s="70"/>
      <c r="R69" s="70"/>
      <c r="S69" s="71">
        <v>6533.27</v>
      </c>
      <c r="T69" s="70"/>
      <c r="U69" s="70"/>
      <c r="V69" s="365">
        <v>6705.11</v>
      </c>
    </row>
    <row r="70" spans="1:22" ht="14.25">
      <c r="A70" s="68"/>
      <c r="B70" s="69"/>
      <c r="C70" s="98">
        <v>0.056</v>
      </c>
      <c r="D70" s="70">
        <v>5923.26</v>
      </c>
      <c r="E70" s="70"/>
      <c r="F70" s="70"/>
      <c r="G70" s="70"/>
      <c r="H70" s="71">
        <f t="shared" si="1"/>
        <v>6004.4989864873005</v>
      </c>
      <c r="I70" s="114"/>
      <c r="J70" s="70"/>
      <c r="K70" s="70"/>
      <c r="L70" s="71">
        <v>6254.41</v>
      </c>
      <c r="M70" s="113"/>
      <c r="N70" s="70"/>
      <c r="O70" s="70"/>
      <c r="P70" s="71">
        <v>6425.68</v>
      </c>
      <c r="Q70" s="70"/>
      <c r="R70" s="70"/>
      <c r="S70" s="71">
        <v>6604.83</v>
      </c>
      <c r="T70" s="70"/>
      <c r="U70" s="70"/>
      <c r="V70" s="365">
        <v>6785.72</v>
      </c>
    </row>
    <row r="71" spans="1:22" ht="14.25">
      <c r="A71" s="68"/>
      <c r="B71" s="69"/>
      <c r="C71" s="98"/>
      <c r="D71" s="70">
        <v>4425.44</v>
      </c>
      <c r="E71" s="70"/>
      <c r="F71" s="70"/>
      <c r="G71" s="70"/>
      <c r="H71" s="71">
        <f t="shared" si="1"/>
        <v>4425.44</v>
      </c>
      <c r="I71" s="114"/>
      <c r="J71" s="70"/>
      <c r="K71" s="70"/>
      <c r="L71" s="71">
        <v>4651.88</v>
      </c>
      <c r="M71" s="113"/>
      <c r="N71" s="70"/>
      <c r="O71" s="70"/>
      <c r="P71" s="71">
        <v>4768.6</v>
      </c>
      <c r="Q71" s="70"/>
      <c r="R71" s="70"/>
      <c r="S71" s="71"/>
      <c r="T71" s="70"/>
      <c r="U71" s="70"/>
      <c r="V71" s="365"/>
    </row>
    <row r="72" spans="1:22" ht="14.25">
      <c r="A72" s="68"/>
      <c r="B72" s="69"/>
      <c r="C72" s="98"/>
      <c r="D72" s="70">
        <v>4305.97</v>
      </c>
      <c r="E72" s="70"/>
      <c r="F72" s="70"/>
      <c r="G72" s="70"/>
      <c r="H72" s="71">
        <f t="shared" si="1"/>
        <v>4305.97</v>
      </c>
      <c r="I72" s="114"/>
      <c r="J72" s="70"/>
      <c r="K72" s="70"/>
      <c r="L72" s="71">
        <v>4496.23</v>
      </c>
      <c r="M72" s="113"/>
      <c r="N72" s="70"/>
      <c r="O72" s="70"/>
      <c r="P72" s="71">
        <v>4593.8</v>
      </c>
      <c r="Q72" s="70"/>
      <c r="R72" s="70"/>
      <c r="S72" s="71"/>
      <c r="T72" s="70"/>
      <c r="U72" s="70"/>
      <c r="V72" s="365"/>
    </row>
    <row r="73" spans="1:22" ht="14.25">
      <c r="A73" s="68"/>
      <c r="B73" s="69"/>
      <c r="C73" s="98"/>
      <c r="D73" s="70">
        <v>3625.3</v>
      </c>
      <c r="E73" s="70"/>
      <c r="F73" s="70"/>
      <c r="G73" s="70"/>
      <c r="H73" s="71">
        <f t="shared" si="1"/>
        <v>3625.3</v>
      </c>
      <c r="I73" s="114"/>
      <c r="J73" s="70"/>
      <c r="K73" s="70"/>
      <c r="L73" s="71"/>
      <c r="M73" s="113"/>
      <c r="N73" s="70"/>
      <c r="O73" s="70"/>
      <c r="P73" s="71"/>
      <c r="Q73" s="70"/>
      <c r="R73" s="70"/>
      <c r="S73" s="71"/>
      <c r="T73" s="70"/>
      <c r="U73" s="70"/>
      <c r="V73" s="365"/>
    </row>
    <row r="74" spans="1:22" ht="14.25">
      <c r="A74" s="68"/>
      <c r="B74" s="69"/>
      <c r="C74" s="98">
        <v>0.04975</v>
      </c>
      <c r="D74" s="70">
        <v>3691.53</v>
      </c>
      <c r="E74" s="70"/>
      <c r="F74" s="70"/>
      <c r="G74" s="70"/>
      <c r="H74" s="71">
        <f t="shared" si="1"/>
        <v>3736.610871144347</v>
      </c>
      <c r="I74" s="114"/>
      <c r="J74" s="70"/>
      <c r="K74" s="70"/>
      <c r="L74" s="71">
        <v>3874.91</v>
      </c>
      <c r="M74" s="113"/>
      <c r="N74" s="70"/>
      <c r="O74" s="70"/>
      <c r="P74" s="71">
        <v>3969.32</v>
      </c>
      <c r="Q74" s="70"/>
      <c r="R74" s="70"/>
      <c r="S74" s="71">
        <v>4067.75</v>
      </c>
      <c r="T74" s="70"/>
      <c r="U74" s="70"/>
      <c r="V74" s="365">
        <v>4166.87</v>
      </c>
    </row>
    <row r="75" spans="1:22" ht="14.25">
      <c r="A75" s="68"/>
      <c r="B75" s="69"/>
      <c r="C75" s="98">
        <v>0.05175</v>
      </c>
      <c r="D75" s="70">
        <v>3706.34</v>
      </c>
      <c r="E75" s="70"/>
      <c r="F75" s="70"/>
      <c r="G75" s="70"/>
      <c r="H75" s="71">
        <f t="shared" si="1"/>
        <v>3753.3873577119875</v>
      </c>
      <c r="I75" s="114"/>
      <c r="J75" s="70"/>
      <c r="K75" s="70"/>
      <c r="L75" s="71">
        <v>3897.86</v>
      </c>
      <c r="M75" s="113"/>
      <c r="N75" s="70"/>
      <c r="O75" s="70"/>
      <c r="P75" s="71">
        <v>3996.6</v>
      </c>
      <c r="Q75" s="70"/>
      <c r="R75" s="70"/>
      <c r="S75" s="71">
        <v>4099.64</v>
      </c>
      <c r="T75" s="70"/>
      <c r="U75" s="70"/>
      <c r="V75" s="365">
        <v>4203.51</v>
      </c>
    </row>
    <row r="76" spans="1:22" ht="14.25">
      <c r="A76" s="68"/>
      <c r="B76" s="69"/>
      <c r="C76" s="98">
        <v>0.0515</v>
      </c>
      <c r="D76" s="70">
        <v>5285.36</v>
      </c>
      <c r="E76" s="70"/>
      <c r="F76" s="70"/>
      <c r="G76" s="70"/>
      <c r="H76" s="71">
        <f t="shared" si="1"/>
        <v>5352.132948166196</v>
      </c>
      <c r="I76" s="114"/>
      <c r="J76" s="70"/>
      <c r="K76" s="70"/>
      <c r="L76" s="71">
        <v>5557.18</v>
      </c>
      <c r="M76" s="113"/>
      <c r="N76" s="70"/>
      <c r="O76" s="70"/>
      <c r="P76" s="71">
        <v>5697.29</v>
      </c>
      <c r="Q76" s="70"/>
      <c r="R76" s="70"/>
      <c r="S76" s="71">
        <v>5843.44</v>
      </c>
      <c r="T76" s="70"/>
      <c r="U76" s="70"/>
      <c r="V76" s="365">
        <v>5990.78</v>
      </c>
    </row>
    <row r="77" spans="1:22" ht="14.25">
      <c r="A77" s="68"/>
      <c r="B77" s="69"/>
      <c r="C77" s="98">
        <v>0.053</v>
      </c>
      <c r="D77" s="70">
        <v>5293.7</v>
      </c>
      <c r="E77" s="70"/>
      <c r="F77" s="70"/>
      <c r="G77" s="70"/>
      <c r="H77" s="71">
        <f t="shared" si="1"/>
        <v>5362.489051432959</v>
      </c>
      <c r="I77" s="114"/>
      <c r="J77" s="70"/>
      <c r="K77" s="70"/>
      <c r="L77" s="71">
        <v>5573.87</v>
      </c>
      <c r="M77" s="113"/>
      <c r="N77" s="70"/>
      <c r="O77" s="70"/>
      <c r="P77" s="71">
        <v>5718.44</v>
      </c>
      <c r="Q77" s="70"/>
      <c r="R77" s="70"/>
      <c r="S77" s="71">
        <v>5869.35</v>
      </c>
      <c r="T77" s="70"/>
      <c r="U77" s="70"/>
      <c r="V77" s="365">
        <v>6021.6</v>
      </c>
    </row>
    <row r="78" spans="1:22" ht="14.25">
      <c r="A78" s="68"/>
      <c r="B78" s="69"/>
      <c r="C78" s="98">
        <v>0.05</v>
      </c>
      <c r="D78" s="70">
        <v>6276.64</v>
      </c>
      <c r="E78" s="70"/>
      <c r="F78" s="70"/>
      <c r="G78" s="70"/>
      <c r="H78" s="71">
        <f t="shared" si="1"/>
        <v>6353.668397506686</v>
      </c>
      <c r="I78" s="114"/>
      <c r="J78" s="70"/>
      <c r="K78" s="70"/>
      <c r="L78" s="71">
        <v>6590.03</v>
      </c>
      <c r="M78" s="113"/>
      <c r="N78" s="70"/>
      <c r="O78" s="70"/>
      <c r="P78" s="71">
        <v>6751.4</v>
      </c>
      <c r="Q78" s="70"/>
      <c r="R78" s="70"/>
      <c r="S78" s="71">
        <v>6919.61</v>
      </c>
      <c r="T78" s="70"/>
      <c r="U78" s="70"/>
      <c r="V78" s="365">
        <v>7089.06</v>
      </c>
    </row>
    <row r="79" spans="1:22" ht="14.25">
      <c r="A79" s="68"/>
      <c r="B79" s="69"/>
      <c r="C79" s="98">
        <v>0.046</v>
      </c>
      <c r="D79" s="70">
        <v>5035.5</v>
      </c>
      <c r="E79" s="70"/>
      <c r="F79" s="70"/>
      <c r="G79" s="70"/>
      <c r="H79" s="71">
        <f t="shared" si="1"/>
        <v>5092.435317502201</v>
      </c>
      <c r="I79" s="114"/>
      <c r="J79" s="70"/>
      <c r="K79" s="70"/>
      <c r="L79" s="71">
        <v>5266.84</v>
      </c>
      <c r="M79" s="113"/>
      <c r="N79" s="70"/>
      <c r="O79" s="70"/>
      <c r="P79" s="71">
        <v>5385.61</v>
      </c>
      <c r="Q79" s="70"/>
      <c r="R79" s="70"/>
      <c r="S79" s="71">
        <v>5509.14</v>
      </c>
      <c r="T79" s="70"/>
      <c r="U79" s="70"/>
      <c r="V79" s="365">
        <v>5633.38</v>
      </c>
    </row>
    <row r="80" spans="1:22" ht="14.25">
      <c r="A80" s="68"/>
      <c r="B80" s="69"/>
      <c r="C80" s="98">
        <v>0.0485</v>
      </c>
      <c r="D80" s="70">
        <v>5037.39</v>
      </c>
      <c r="E80" s="70"/>
      <c r="F80" s="70"/>
      <c r="G80" s="70"/>
      <c r="H80" s="71">
        <f t="shared" si="1"/>
        <v>5097.387908122883</v>
      </c>
      <c r="I80" s="114"/>
      <c r="J80" s="70"/>
      <c r="K80" s="70"/>
      <c r="L80" s="71">
        <v>5281.4</v>
      </c>
      <c r="M80" s="113"/>
      <c r="N80" s="70"/>
      <c r="O80" s="70"/>
      <c r="P80" s="71">
        <v>5406.89</v>
      </c>
      <c r="Q80" s="70"/>
      <c r="R80" s="70"/>
      <c r="S80" s="71">
        <v>5537.57</v>
      </c>
      <c r="T80" s="70"/>
      <c r="U80" s="70"/>
      <c r="V80" s="365">
        <v>5669.16</v>
      </c>
    </row>
    <row r="81" spans="1:22" ht="14.25">
      <c r="A81" s="68"/>
      <c r="B81" s="69"/>
      <c r="C81" s="98">
        <v>0.0405</v>
      </c>
      <c r="D81" s="70">
        <v>4491.32</v>
      </c>
      <c r="E81" s="70"/>
      <c r="F81" s="70"/>
      <c r="G81" s="70"/>
      <c r="H81" s="71">
        <f t="shared" si="1"/>
        <v>4536.119844848552</v>
      </c>
      <c r="I81" s="114"/>
      <c r="J81" s="70"/>
      <c r="K81" s="70"/>
      <c r="L81" s="71">
        <v>4673.21</v>
      </c>
      <c r="M81" s="113"/>
      <c r="N81" s="70"/>
      <c r="O81" s="70"/>
      <c r="P81" s="71">
        <v>4766.11</v>
      </c>
      <c r="Q81" s="70"/>
      <c r="R81" s="70"/>
      <c r="S81" s="71">
        <v>4862.48</v>
      </c>
      <c r="T81" s="70"/>
      <c r="U81" s="70"/>
      <c r="V81" s="365">
        <v>4959.16</v>
      </c>
    </row>
    <row r="82" spans="1:22" ht="14.25">
      <c r="A82" s="68"/>
      <c r="B82" s="69"/>
      <c r="C82" s="85"/>
      <c r="D82" s="70"/>
      <c r="E82" s="70"/>
      <c r="F82" s="70"/>
      <c r="G82" s="70"/>
      <c r="H82" s="71"/>
      <c r="I82" s="114"/>
      <c r="J82" s="70"/>
      <c r="K82" s="70"/>
      <c r="L82" s="71"/>
      <c r="M82" s="113"/>
      <c r="N82" s="70"/>
      <c r="O82" s="70"/>
      <c r="P82" s="71"/>
      <c r="Q82" s="70"/>
      <c r="R82" s="70"/>
      <c r="S82" s="71"/>
      <c r="T82" s="70"/>
      <c r="U82" s="70"/>
      <c r="V82" s="71"/>
    </row>
    <row r="83" spans="1:22" ht="15.75" thickBot="1">
      <c r="A83" s="68"/>
      <c r="B83" s="69"/>
      <c r="C83" s="70"/>
      <c r="D83" s="70">
        <f>SUM(D67:D81)</f>
        <v>69352.91999999998</v>
      </c>
      <c r="E83" s="70"/>
      <c r="F83" s="70"/>
      <c r="G83" s="70"/>
      <c r="H83" s="71">
        <f>SUM(H67:H81)</f>
        <v>69978.13302819416</v>
      </c>
      <c r="I83" s="114"/>
      <c r="J83" s="70"/>
      <c r="K83" s="70"/>
      <c r="L83" s="87">
        <f>SUM(L67:L81)</f>
        <v>62317.69</v>
      </c>
      <c r="M83" s="113"/>
      <c r="N83" s="70"/>
      <c r="O83" s="70"/>
      <c r="P83" s="87">
        <f>SUM(P67:P81)</f>
        <v>63842.66</v>
      </c>
      <c r="Q83" s="70"/>
      <c r="R83" s="70"/>
      <c r="S83" s="87">
        <f>SUM(S67:S81)</f>
        <v>55847.08</v>
      </c>
      <c r="T83" s="70"/>
      <c r="U83" s="70"/>
      <c r="V83" s="87">
        <f>SUM(V67:V81)</f>
        <v>57224.34999999999</v>
      </c>
    </row>
    <row r="84" spans="1:22" ht="15" thickBot="1">
      <c r="A84" s="93"/>
      <c r="B84" s="94"/>
      <c r="C84" s="94"/>
      <c r="D84" s="94"/>
      <c r="E84" s="94"/>
      <c r="F84" s="94"/>
      <c r="G84" s="94"/>
      <c r="H84" s="94"/>
      <c r="I84" s="116"/>
      <c r="J84" s="94"/>
      <c r="K84" s="94"/>
      <c r="L84" s="96"/>
      <c r="M84" s="113"/>
      <c r="N84" s="94"/>
      <c r="O84" s="94"/>
      <c r="P84" s="96"/>
      <c r="Q84" s="94"/>
      <c r="R84" s="94"/>
      <c r="S84" s="96"/>
      <c r="T84" s="94"/>
      <c r="U84" s="94"/>
      <c r="V84" s="96"/>
    </row>
    <row r="85" spans="1:22" ht="15">
      <c r="A85" s="91" t="s">
        <v>260</v>
      </c>
      <c r="B85" s="92" t="s">
        <v>50</v>
      </c>
      <c r="C85" s="85"/>
      <c r="D85" s="70"/>
      <c r="E85" s="70"/>
      <c r="F85" s="70"/>
      <c r="G85" s="70"/>
      <c r="H85" s="71"/>
      <c r="I85" s="114"/>
      <c r="J85" s="70"/>
      <c r="K85" s="70"/>
      <c r="L85" s="71"/>
      <c r="M85" s="113"/>
      <c r="N85" s="70"/>
      <c r="O85" s="70"/>
      <c r="P85" s="71"/>
      <c r="Q85" s="70"/>
      <c r="R85" s="70"/>
      <c r="S85" s="71"/>
      <c r="T85" s="70"/>
      <c r="U85" s="70"/>
      <c r="V85" s="71"/>
    </row>
    <row r="86" spans="1:22" ht="14.25">
      <c r="A86" s="68"/>
      <c r="B86" s="69"/>
      <c r="C86" s="85"/>
      <c r="D86" s="70" t="s">
        <v>1</v>
      </c>
      <c r="E86" s="70"/>
      <c r="F86" s="70"/>
      <c r="G86" s="70"/>
      <c r="H86" s="71"/>
      <c r="I86" s="114"/>
      <c r="J86" s="70"/>
      <c r="K86" s="70"/>
      <c r="L86" s="71"/>
      <c r="M86" s="113"/>
      <c r="N86" s="70"/>
      <c r="O86" s="70"/>
      <c r="P86" s="71"/>
      <c r="Q86" s="70"/>
      <c r="R86" s="70"/>
      <c r="S86" s="71"/>
      <c r="T86" s="70"/>
      <c r="U86" s="70"/>
      <c r="V86" s="71"/>
    </row>
    <row r="87" spans="1:22" ht="14.25">
      <c r="A87" s="68"/>
      <c r="B87" s="70">
        <v>50000</v>
      </c>
      <c r="C87" s="98">
        <v>0.0378</v>
      </c>
      <c r="D87" s="70">
        <f>B87*(1+C87)^((2+30+31+30+31+31+30+31+30+31)/365)</f>
        <v>51427.8930366074</v>
      </c>
      <c r="E87" s="70"/>
      <c r="F87" s="70"/>
      <c r="G87" s="70"/>
      <c r="H87" s="71">
        <f>D87*(1+C87)^0.25</f>
        <v>51907.14572934832</v>
      </c>
      <c r="I87" s="114"/>
      <c r="J87" s="358" t="s">
        <v>266</v>
      </c>
      <c r="K87" s="70"/>
      <c r="L87" s="71">
        <f>D87*(1+C87)^(12/12)+7.2</f>
        <v>53379.06739339116</v>
      </c>
      <c r="M87" s="113"/>
      <c r="N87" s="358" t="s">
        <v>266</v>
      </c>
      <c r="O87" s="70"/>
      <c r="P87" s="71">
        <f>L87*(1+C87)^0.5-11</f>
        <v>54367.57403960672</v>
      </c>
      <c r="Q87" s="358" t="s">
        <v>266</v>
      </c>
      <c r="R87" s="70"/>
      <c r="S87" s="71">
        <f>P87*(1+C87)^0.5+11.22</f>
        <v>55396.81016923905</v>
      </c>
      <c r="T87" s="358" t="s">
        <v>266</v>
      </c>
      <c r="U87" s="70"/>
      <c r="V87" s="365">
        <f>56429.34-6.46</f>
        <v>56422.88</v>
      </c>
    </row>
    <row r="88" spans="1:22" ht="14.25">
      <c r="A88" s="68"/>
      <c r="B88" s="70">
        <v>15000</v>
      </c>
      <c r="C88" s="98">
        <v>0.0411</v>
      </c>
      <c r="D88" s="70">
        <f>B88*(1+C88)^((29+30+31+30+31+31+30+31+30+31)/365)</f>
        <v>15511.732630232364</v>
      </c>
      <c r="E88" s="70"/>
      <c r="F88" s="70"/>
      <c r="G88" s="70"/>
      <c r="H88" s="71">
        <f>D88*(1+C88)^0.25</f>
        <v>15668.716471634069</v>
      </c>
      <c r="I88" s="114"/>
      <c r="J88" s="358" t="s">
        <v>267</v>
      </c>
      <c r="K88" s="70"/>
      <c r="L88" s="71">
        <f>D88*(1+C88)^(12/12)</f>
        <v>16149.264841334912</v>
      </c>
      <c r="M88" s="113"/>
      <c r="N88" s="358" t="s">
        <v>267</v>
      </c>
      <c r="O88" s="70"/>
      <c r="P88" s="71">
        <f>L88*(1+C88)^0.5</f>
        <v>16477.79062079034</v>
      </c>
      <c r="Q88" s="358" t="s">
        <v>267</v>
      </c>
      <c r="R88" s="70"/>
      <c r="S88" s="71">
        <f>P88*(1+C88)^0.5</f>
        <v>16812.999626313776</v>
      </c>
      <c r="T88" s="358" t="s">
        <v>267</v>
      </c>
      <c r="U88" s="70"/>
      <c r="V88" s="365">
        <f>17155.97-1.16</f>
        <v>17154.81</v>
      </c>
    </row>
    <row r="89" spans="1:22" ht="14.25">
      <c r="A89" s="68"/>
      <c r="B89" s="69"/>
      <c r="C89" s="98"/>
      <c r="D89" s="70"/>
      <c r="E89" s="70"/>
      <c r="F89" s="70"/>
      <c r="G89" s="70"/>
      <c r="H89" s="71"/>
      <c r="I89" s="114"/>
      <c r="J89" s="70"/>
      <c r="K89" s="70"/>
      <c r="L89" s="71"/>
      <c r="M89" s="113"/>
      <c r="N89" s="70"/>
      <c r="O89" s="70"/>
      <c r="P89" s="71"/>
      <c r="Q89" s="70"/>
      <c r="R89" s="70"/>
      <c r="S89" s="71"/>
      <c r="T89" s="70"/>
      <c r="U89" s="70"/>
      <c r="V89" s="71"/>
    </row>
    <row r="90" spans="1:22" ht="14.25">
      <c r="A90" s="68" t="s">
        <v>51</v>
      </c>
      <c r="B90" s="69">
        <v>3617.69672</v>
      </c>
      <c r="C90" s="110">
        <v>14.833785</v>
      </c>
      <c r="D90" s="70">
        <f>B90*C90</f>
        <v>53664.1353396852</v>
      </c>
      <c r="E90" s="70"/>
      <c r="F90" s="111">
        <f>B90</f>
        <v>3617.69672</v>
      </c>
      <c r="G90" s="70">
        <v>15</v>
      </c>
      <c r="H90" s="71">
        <f>F90*G90</f>
        <v>54265.4508</v>
      </c>
      <c r="I90" s="114"/>
      <c r="J90" s="111">
        <v>6689.29609</v>
      </c>
      <c r="K90" s="112">
        <v>19.22598</v>
      </c>
      <c r="L90" s="71">
        <f>J90*K90</f>
        <v>128608.2728404182</v>
      </c>
      <c r="M90" s="113"/>
      <c r="N90" s="111">
        <v>6689.29609</v>
      </c>
      <c r="O90" s="112">
        <v>19.258699</v>
      </c>
      <c r="P90" s="71">
        <f>N90*O90+0.01</f>
        <v>128827.14991918691</v>
      </c>
      <c r="Q90" s="111">
        <v>6689.29609</v>
      </c>
      <c r="R90" s="112">
        <f>R102</f>
        <v>21.883189</v>
      </c>
      <c r="S90" s="71">
        <f>Q90*R90+0.01</f>
        <v>146383.14061443103</v>
      </c>
      <c r="T90" s="111">
        <v>6689.29609</v>
      </c>
      <c r="U90" s="112">
        <v>23.43954</v>
      </c>
      <c r="V90" s="365">
        <f>T90*U90</f>
        <v>156794.0232733986</v>
      </c>
    </row>
    <row r="91" spans="1:22" ht="14.25">
      <c r="A91" s="68" t="s">
        <v>52</v>
      </c>
      <c r="B91" s="69">
        <v>1386.87582</v>
      </c>
      <c r="C91" s="110">
        <v>9.10916</v>
      </c>
      <c r="D91" s="70">
        <f>B91*C91</f>
        <v>12633.273744511198</v>
      </c>
      <c r="E91" s="70"/>
      <c r="F91" s="111">
        <f>B91</f>
        <v>1386.87582</v>
      </c>
      <c r="G91" s="70">
        <v>10</v>
      </c>
      <c r="H91" s="71">
        <f>F91*G91</f>
        <v>13868.7582</v>
      </c>
      <c r="I91" s="114"/>
      <c r="J91" s="111">
        <v>1385.7947</v>
      </c>
      <c r="K91" s="112">
        <v>9.22218</v>
      </c>
      <c r="L91" s="71">
        <f>J91*K91</f>
        <v>12780.048166445999</v>
      </c>
      <c r="M91" s="113"/>
      <c r="N91" s="111">
        <v>1385.7947</v>
      </c>
      <c r="O91" s="112">
        <v>9.07582</v>
      </c>
      <c r="P91" s="71">
        <f>N91*O91</f>
        <v>12577.223254154</v>
      </c>
      <c r="Q91" s="111">
        <v>1385.7947</v>
      </c>
      <c r="R91" s="112">
        <v>10.85845</v>
      </c>
      <c r="S91" s="71">
        <f>Q91*R91</f>
        <v>15047.582460214999</v>
      </c>
      <c r="T91" s="111">
        <v>1385.7947</v>
      </c>
      <c r="U91" s="112">
        <v>10.50299</v>
      </c>
      <c r="V91" s="365">
        <f>T91*U91</f>
        <v>14554.987876153</v>
      </c>
    </row>
    <row r="92" spans="1:22" ht="14.25">
      <c r="A92" s="68"/>
      <c r="B92" s="69"/>
      <c r="C92" s="98"/>
      <c r="D92" s="70"/>
      <c r="E92" s="70"/>
      <c r="F92" s="70"/>
      <c r="G92" s="70"/>
      <c r="H92" s="71"/>
      <c r="I92" s="114"/>
      <c r="J92" s="70"/>
      <c r="K92" s="70"/>
      <c r="L92" s="71"/>
      <c r="M92" s="113"/>
      <c r="N92" s="70"/>
      <c r="O92" s="70"/>
      <c r="P92" s="71"/>
      <c r="Q92" s="70"/>
      <c r="R92" s="70"/>
      <c r="S92" s="71"/>
      <c r="T92" s="70"/>
      <c r="U92" s="70"/>
      <c r="V92" s="71"/>
    </row>
    <row r="93" spans="1:22" ht="15.75" thickBot="1">
      <c r="A93" s="68"/>
      <c r="B93" s="69"/>
      <c r="C93" s="70"/>
      <c r="D93" s="70">
        <f>SUM(D86:D92)</f>
        <v>133237.03475103615</v>
      </c>
      <c r="E93" s="70"/>
      <c r="F93" s="70"/>
      <c r="G93" s="70"/>
      <c r="H93" s="71">
        <f>SUM(H86:H92)</f>
        <v>135710.0712009824</v>
      </c>
      <c r="I93" s="114"/>
      <c r="J93" s="70"/>
      <c r="K93" s="70"/>
      <c r="L93" s="87">
        <f>SUM(L86:L92)</f>
        <v>210916.65324159028</v>
      </c>
      <c r="M93" s="113"/>
      <c r="N93" s="70"/>
      <c r="O93" s="70"/>
      <c r="P93" s="382">
        <f>SUM(P86:P92)-0.01</f>
        <v>212249.72783373794</v>
      </c>
      <c r="Q93" s="70"/>
      <c r="R93" s="70"/>
      <c r="S93" s="87">
        <f>SUM(S86:S92)</f>
        <v>233640.53287019886</v>
      </c>
      <c r="T93" s="70"/>
      <c r="U93" s="70"/>
      <c r="V93" s="87">
        <f>SUM(V86:V92)</f>
        <v>244926.7011495516</v>
      </c>
    </row>
    <row r="94" spans="1:22" ht="15" thickBot="1">
      <c r="A94" s="93"/>
      <c r="B94" s="94"/>
      <c r="C94" s="94"/>
      <c r="D94" s="94"/>
      <c r="E94" s="94"/>
      <c r="F94" s="94"/>
      <c r="G94" s="94"/>
      <c r="H94" s="94"/>
      <c r="I94" s="116"/>
      <c r="J94" s="94"/>
      <c r="K94" s="94"/>
      <c r="L94" s="96"/>
      <c r="M94" s="113"/>
      <c r="N94" s="94"/>
      <c r="O94" s="94"/>
      <c r="P94" s="96"/>
      <c r="Q94" s="94"/>
      <c r="R94" s="94"/>
      <c r="S94" s="96"/>
      <c r="T94" s="94"/>
      <c r="U94" s="94"/>
      <c r="V94" s="96"/>
    </row>
    <row r="95" spans="1:22" ht="15">
      <c r="A95" s="91" t="s">
        <v>264</v>
      </c>
      <c r="B95" s="92" t="s">
        <v>50</v>
      </c>
      <c r="C95" s="85"/>
      <c r="D95" s="70"/>
      <c r="E95" s="70"/>
      <c r="F95" s="70"/>
      <c r="G95" s="70"/>
      <c r="H95" s="71"/>
      <c r="I95" s="114"/>
      <c r="J95" s="70"/>
      <c r="K95" s="86"/>
      <c r="L95" s="71"/>
      <c r="M95" s="113"/>
      <c r="N95" s="70"/>
      <c r="O95" s="86"/>
      <c r="P95" s="71"/>
      <c r="Q95" s="70"/>
      <c r="R95" s="86"/>
      <c r="S95" s="71"/>
      <c r="T95" s="70"/>
      <c r="U95" s="86"/>
      <c r="V95" s="71"/>
    </row>
    <row r="96" spans="1:22" ht="14.25">
      <c r="A96" s="68"/>
      <c r="B96" s="69"/>
      <c r="C96" s="85"/>
      <c r="D96" s="70" t="s">
        <v>1</v>
      </c>
      <c r="E96" s="70"/>
      <c r="F96" s="70"/>
      <c r="G96" s="70"/>
      <c r="H96" s="71"/>
      <c r="I96" s="114"/>
      <c r="J96" s="119"/>
      <c r="K96" s="70"/>
      <c r="L96" s="71"/>
      <c r="M96" s="113"/>
      <c r="N96" s="119"/>
      <c r="O96" s="70"/>
      <c r="P96" s="71"/>
      <c r="Q96" s="119"/>
      <c r="R96" s="70"/>
      <c r="S96" s="71"/>
      <c r="T96" s="119"/>
      <c r="U96" s="70"/>
      <c r="V96" s="71"/>
    </row>
    <row r="97" spans="1:22" ht="14.25">
      <c r="A97" s="68" t="s">
        <v>1</v>
      </c>
      <c r="B97" s="70"/>
      <c r="C97" s="98">
        <v>0.03929</v>
      </c>
      <c r="D97" s="70">
        <v>9713.32</v>
      </c>
      <c r="E97" s="70"/>
      <c r="F97" s="70"/>
      <c r="G97" s="70"/>
      <c r="H97" s="71">
        <f>D97*(1+C97)^0.25</f>
        <v>9807.354724923536</v>
      </c>
      <c r="I97" s="114"/>
      <c r="J97" s="358" t="s">
        <v>268</v>
      </c>
      <c r="K97" s="120"/>
      <c r="L97" s="71">
        <v>10100.4</v>
      </c>
      <c r="M97" s="113"/>
      <c r="N97" s="358" t="s">
        <v>268</v>
      </c>
      <c r="O97" s="120"/>
      <c r="P97" s="71">
        <f>L97*(1+C97)^0.5-0.2</f>
        <v>10296.710727469983</v>
      </c>
      <c r="Q97" s="358" t="s">
        <v>268</v>
      </c>
      <c r="R97" s="120"/>
      <c r="S97" s="71">
        <f>P97*(1+C97)^0.5+2.73</f>
        <v>10499.770824852572</v>
      </c>
      <c r="T97" s="358" t="s">
        <v>268</v>
      </c>
      <c r="U97" s="120"/>
      <c r="V97" s="365">
        <v>10703.43</v>
      </c>
    </row>
    <row r="98" spans="1:22" ht="14.25">
      <c r="A98" s="68"/>
      <c r="B98" s="70"/>
      <c r="C98" s="98">
        <v>0.0425</v>
      </c>
      <c r="D98" s="70"/>
      <c r="E98" s="70"/>
      <c r="F98" s="70"/>
      <c r="G98" s="70"/>
      <c r="H98" s="71"/>
      <c r="I98" s="114"/>
      <c r="J98" s="358"/>
      <c r="K98" s="120"/>
      <c r="L98" s="71"/>
      <c r="M98" s="113"/>
      <c r="N98" s="358"/>
      <c r="O98" s="120"/>
      <c r="P98" s="71"/>
      <c r="Q98" s="358" t="s">
        <v>273</v>
      </c>
      <c r="R98" s="120"/>
      <c r="S98" s="71">
        <f>31828.84*(1+C98)^((31+30+31+30+31)/365)+3.69</f>
        <v>32392.71694175109</v>
      </c>
      <c r="T98" s="358" t="s">
        <v>273</v>
      </c>
      <c r="U98" s="120"/>
      <c r="V98" s="365">
        <v>33068.25</v>
      </c>
    </row>
    <row r="99" spans="1:22" ht="14.25">
      <c r="A99" s="68"/>
      <c r="B99" s="70"/>
      <c r="C99" s="98">
        <v>0.041</v>
      </c>
      <c r="D99" s="70"/>
      <c r="E99" s="70"/>
      <c r="F99" s="70"/>
      <c r="G99" s="70"/>
      <c r="H99" s="71"/>
      <c r="I99" s="114"/>
      <c r="J99" s="358"/>
      <c r="K99" s="120"/>
      <c r="L99" s="71"/>
      <c r="M99" s="113"/>
      <c r="N99" s="358"/>
      <c r="O99" s="120"/>
      <c r="P99" s="71"/>
      <c r="Q99" s="358" t="s">
        <v>273</v>
      </c>
      <c r="R99" s="120"/>
      <c r="S99" s="71">
        <f>31828.84*(1+C99)^((31+30+31+30+31)/365)+3.57</f>
        <v>32373.05385159569</v>
      </c>
      <c r="T99" s="358" t="s">
        <v>273</v>
      </c>
      <c r="U99" s="120"/>
      <c r="V99" s="365">
        <v>33024.57</v>
      </c>
    </row>
    <row r="100" spans="1:22" ht="14.25">
      <c r="A100" s="68"/>
      <c r="B100" s="69"/>
      <c r="C100" s="98"/>
      <c r="D100" s="70"/>
      <c r="E100" s="70"/>
      <c r="F100" s="70"/>
      <c r="G100" s="70"/>
      <c r="H100" s="71"/>
      <c r="I100" s="114"/>
      <c r="J100" s="70"/>
      <c r="K100" s="70"/>
      <c r="L100" s="71"/>
      <c r="M100" s="113"/>
      <c r="N100" s="70"/>
      <c r="O100" s="70"/>
      <c r="P100" s="71"/>
      <c r="Q100" s="70"/>
      <c r="R100" s="70"/>
      <c r="S100" s="71"/>
      <c r="T100" s="70"/>
      <c r="U100" s="70"/>
      <c r="V100" s="71"/>
    </row>
    <row r="101" spans="1:22" ht="14.25">
      <c r="A101" s="68" t="s">
        <v>274</v>
      </c>
      <c r="B101" s="69"/>
      <c r="C101" s="98"/>
      <c r="D101" s="70"/>
      <c r="E101" s="70"/>
      <c r="F101" s="70"/>
      <c r="G101" s="70"/>
      <c r="H101" s="71"/>
      <c r="I101" s="114"/>
      <c r="J101" s="70">
        <v>5842.48532</v>
      </c>
      <c r="K101" s="112">
        <v>10.68698</v>
      </c>
      <c r="L101" s="71">
        <f>J101*K101+2866.53</f>
        <v>65305.0537651336</v>
      </c>
      <c r="M101" s="113"/>
      <c r="N101" s="70">
        <v>5842.48532</v>
      </c>
      <c r="O101" s="112">
        <v>10.86009</v>
      </c>
      <c r="P101" s="71">
        <f>N101*O101+2866.53</f>
        <v>66316.4463988788</v>
      </c>
      <c r="Q101" s="111">
        <v>262.59966</v>
      </c>
      <c r="R101" s="112">
        <v>11.0696</v>
      </c>
      <c r="S101" s="71">
        <f>Q101*R101</f>
        <v>2906.8731963359996</v>
      </c>
      <c r="T101" s="111">
        <v>233.95481</v>
      </c>
      <c r="U101" s="112">
        <v>12.639</v>
      </c>
      <c r="V101" s="365">
        <f>T101*U101-0.05</f>
        <v>2956.90484359</v>
      </c>
    </row>
    <row r="102" spans="1:22" ht="14.25">
      <c r="A102" s="68" t="s">
        <v>51</v>
      </c>
      <c r="B102" s="69">
        <v>254.51906</v>
      </c>
      <c r="C102" s="110">
        <v>14.834</v>
      </c>
      <c r="D102" s="70">
        <f>B102*C102</f>
        <v>3775.53573604</v>
      </c>
      <c r="E102" s="70"/>
      <c r="F102" s="111">
        <f>B102</f>
        <v>254.51906</v>
      </c>
      <c r="G102" s="70">
        <v>15</v>
      </c>
      <c r="H102" s="71">
        <f>F102*G102</f>
        <v>3817.7859</v>
      </c>
      <c r="I102" s="114"/>
      <c r="J102" s="111">
        <v>254.31976</v>
      </c>
      <c r="K102" s="112">
        <f>K90</f>
        <v>19.22598</v>
      </c>
      <c r="L102" s="71">
        <f>J102*K102</f>
        <v>4889.5466193648</v>
      </c>
      <c r="M102" s="113"/>
      <c r="N102" s="111">
        <v>254.31976</v>
      </c>
      <c r="O102" s="112">
        <f>O90</f>
        <v>19.258699</v>
      </c>
      <c r="P102" s="71">
        <f>N102*O102</f>
        <v>4897.86770759224</v>
      </c>
      <c r="Q102" s="111">
        <v>254.31976</v>
      </c>
      <c r="R102" s="112">
        <v>21.883189</v>
      </c>
      <c r="S102" s="71">
        <f>Q102*R102</f>
        <v>5565.327374514641</v>
      </c>
      <c r="T102" s="111">
        <v>254.31976</v>
      </c>
      <c r="U102" s="112">
        <v>23.43953</v>
      </c>
      <c r="V102" s="365">
        <f>T102*U102</f>
        <v>5961.1356441128</v>
      </c>
    </row>
    <row r="103" spans="1:22" ht="14.25">
      <c r="A103" s="68" t="s">
        <v>53</v>
      </c>
      <c r="B103" s="69">
        <v>979.14162</v>
      </c>
      <c r="C103" s="110">
        <v>11.87745</v>
      </c>
      <c r="D103" s="70">
        <f>B103*C103</f>
        <v>11629.705634468999</v>
      </c>
      <c r="E103" s="70"/>
      <c r="F103" s="111">
        <f>B103</f>
        <v>979.14162</v>
      </c>
      <c r="G103" s="70">
        <v>12</v>
      </c>
      <c r="H103" s="71">
        <f>F103*G103</f>
        <v>11749.69944</v>
      </c>
      <c r="I103" s="114"/>
      <c r="J103" s="111">
        <v>978.37223</v>
      </c>
      <c r="K103" s="112">
        <v>13.22192</v>
      </c>
      <c r="L103" s="71">
        <f>J103*K103-0.26</f>
        <v>12935.6993552816</v>
      </c>
      <c r="M103" s="113"/>
      <c r="N103" s="111">
        <v>978.37223</v>
      </c>
      <c r="O103" s="112">
        <v>13.19665</v>
      </c>
      <c r="P103" s="71">
        <f>N103*O103-0.26</f>
        <v>12910.9758890295</v>
      </c>
      <c r="Q103" s="111">
        <v>978.37223</v>
      </c>
      <c r="R103" s="112">
        <v>14.66931</v>
      </c>
      <c r="S103" s="71">
        <f>Q103*R103-0.26</f>
        <v>14351.785537261298</v>
      </c>
      <c r="T103" s="111">
        <v>978.37223</v>
      </c>
      <c r="U103" s="112">
        <v>14.79042</v>
      </c>
      <c r="V103" s="365">
        <f>T103*U103-0.26</f>
        <v>14470.276198036598</v>
      </c>
    </row>
    <row r="104" spans="1:22" ht="14.25">
      <c r="A104" s="68"/>
      <c r="B104" s="69"/>
      <c r="C104" s="98"/>
      <c r="D104" s="70"/>
      <c r="E104" s="70"/>
      <c r="F104" s="70"/>
      <c r="G104" s="70"/>
      <c r="H104" s="71"/>
      <c r="I104" s="114"/>
      <c r="J104" s="70"/>
      <c r="K104" s="70"/>
      <c r="L104" s="71"/>
      <c r="M104" s="113"/>
      <c r="N104" s="70"/>
      <c r="O104" s="70"/>
      <c r="P104" s="71"/>
      <c r="Q104" s="70"/>
      <c r="R104" s="70"/>
      <c r="S104" s="71"/>
      <c r="T104" s="70"/>
      <c r="U104" s="70"/>
      <c r="V104" s="71"/>
    </row>
    <row r="105" spans="1:22" ht="15.75" thickBot="1">
      <c r="A105" s="73"/>
      <c r="B105" s="74"/>
      <c r="C105" s="75"/>
      <c r="D105" s="75">
        <f>SUM(D96:D104)</f>
        <v>25118.561370509</v>
      </c>
      <c r="E105" s="75"/>
      <c r="F105" s="75"/>
      <c r="G105" s="75"/>
      <c r="H105" s="76">
        <f>SUM(H96:H104)</f>
        <v>25374.840064923537</v>
      </c>
      <c r="I105" s="114"/>
      <c r="J105" s="75"/>
      <c r="K105" s="75"/>
      <c r="L105" s="88">
        <f>SUM(L96:L104)</f>
        <v>93230.69973978</v>
      </c>
      <c r="M105" s="113"/>
      <c r="N105" s="75"/>
      <c r="O105" s="75"/>
      <c r="P105" s="88">
        <f>SUM(P96:P104)</f>
        <v>94422.00072297054</v>
      </c>
      <c r="Q105" s="75"/>
      <c r="R105" s="75"/>
      <c r="S105" s="88">
        <f>SUM(S96:S104)</f>
        <v>98089.5277263113</v>
      </c>
      <c r="T105" s="75"/>
      <c r="U105" s="75"/>
      <c r="V105" s="88">
        <f>SUM(V96:V104)</f>
        <v>100184.56668573941</v>
      </c>
    </row>
    <row r="108" spans="10:14" ht="14.25">
      <c r="J108" s="61" t="s">
        <v>1</v>
      </c>
      <c r="N108" s="61" t="s">
        <v>1</v>
      </c>
    </row>
    <row r="109" ht="14.25">
      <c r="N109" s="61" t="s">
        <v>1</v>
      </c>
    </row>
  </sheetData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30" sqref="G30"/>
    </sheetView>
  </sheetViews>
  <sheetFormatPr defaultColWidth="9.140625" defaultRowHeight="12.75"/>
  <sheetData/>
  <sheetProtection password="DF35"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&amp;L&amp;D&amp;C&amp;"Arial,Bold"&amp;12&amp;A&amp;R&amp;T</oddHeader>
    <oddFooter>&amp;LC:\Documents and Settings\Norm Collins\My Documents\Norm\Financial Assessment Base.xls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3">
      <pane xSplit="1" ySplit="2" topLeftCell="H5" activePane="bottomRight" state="frozen"/>
      <selection pane="topLeft" activeCell="A3" sqref="A3"/>
      <selection pane="topRight" activeCell="B3" sqref="B3"/>
      <selection pane="bottomLeft" activeCell="A5" sqref="A5"/>
      <selection pane="bottomRight" activeCell="K18" sqref="K18"/>
    </sheetView>
  </sheetViews>
  <sheetFormatPr defaultColWidth="9.140625" defaultRowHeight="12.75"/>
  <cols>
    <col min="1" max="1" width="32.8515625" style="1" customWidth="1"/>
    <col min="2" max="2" width="17.57421875" style="1" customWidth="1"/>
    <col min="3" max="9" width="14.140625" style="1" bestFit="1" customWidth="1"/>
    <col min="10" max="11" width="9.140625" style="1" customWidth="1"/>
    <col min="12" max="12" width="13.57421875" style="1" bestFit="1" customWidth="1"/>
    <col min="13" max="13" width="11.57421875" style="1" bestFit="1" customWidth="1"/>
    <col min="14" max="14" width="13.57421875" style="1" bestFit="1" customWidth="1"/>
    <col min="15" max="15" width="3.7109375" style="1" customWidth="1"/>
    <col min="16" max="16" width="13.57421875" style="1" bestFit="1" customWidth="1"/>
    <col min="17" max="17" width="9.140625" style="1" customWidth="1"/>
    <col min="18" max="18" width="12.140625" style="1" bestFit="1" customWidth="1"/>
    <col min="19" max="16384" width="9.140625" style="1" customWidth="1"/>
  </cols>
  <sheetData>
    <row r="1" ht="15">
      <c r="A1" s="1" t="s">
        <v>0</v>
      </c>
    </row>
    <row r="2" ht="15.75" thickBot="1"/>
    <row r="3" spans="1:9" ht="15.75">
      <c r="A3" s="18"/>
      <c r="B3" s="19"/>
      <c r="C3" s="146">
        <v>36434</v>
      </c>
      <c r="D3" s="146">
        <v>36800</v>
      </c>
      <c r="E3" s="147">
        <v>37165</v>
      </c>
      <c r="F3" s="147">
        <v>37530</v>
      </c>
      <c r="G3" s="147">
        <v>37895</v>
      </c>
      <c r="H3" s="148">
        <v>38261</v>
      </c>
      <c r="I3" s="148">
        <v>38533</v>
      </c>
    </row>
    <row r="4" spans="1:9" ht="15">
      <c r="A4" s="20"/>
      <c r="B4" s="21"/>
      <c r="C4" s="21"/>
      <c r="D4" s="21"/>
      <c r="E4" s="21"/>
      <c r="F4" s="21"/>
      <c r="G4" s="21"/>
      <c r="H4" s="36"/>
      <c r="I4" s="36"/>
    </row>
    <row r="5" spans="1:9" ht="15">
      <c r="A5" s="20" t="s">
        <v>3</v>
      </c>
      <c r="B5" s="21"/>
      <c r="C5" s="22" t="s">
        <v>1</v>
      </c>
      <c r="D5" s="22" t="s">
        <v>1</v>
      </c>
      <c r="E5" s="23" t="s">
        <v>1</v>
      </c>
      <c r="F5" s="21"/>
      <c r="G5" s="21"/>
      <c r="H5" s="36"/>
      <c r="I5" s="36"/>
    </row>
    <row r="6" spans="1:9" ht="15" hidden="1">
      <c r="A6" s="20" t="s">
        <v>4</v>
      </c>
      <c r="B6" s="21"/>
      <c r="C6" s="22">
        <v>14050.61</v>
      </c>
      <c r="D6" s="22">
        <v>14788.26</v>
      </c>
      <c r="E6" s="22">
        <v>15601.98</v>
      </c>
      <c r="F6" s="22">
        <v>15882.82</v>
      </c>
      <c r="G6" s="22">
        <v>10739.64</v>
      </c>
      <c r="H6" s="50"/>
      <c r="I6" s="50"/>
    </row>
    <row r="7" spans="1:9" ht="15" hidden="1">
      <c r="A7" s="20" t="s">
        <v>5</v>
      </c>
      <c r="B7" s="21"/>
      <c r="C7" s="22">
        <v>36714.25</v>
      </c>
      <c r="D7" s="22">
        <v>38641.75</v>
      </c>
      <c r="E7" s="22">
        <v>40768.23</v>
      </c>
      <c r="F7" s="22">
        <v>41502.06</v>
      </c>
      <c r="G7" s="22">
        <v>42332.01</v>
      </c>
      <c r="H7" s="51">
        <v>43072.79</v>
      </c>
      <c r="I7" s="50"/>
    </row>
    <row r="8" spans="1:11" ht="15" hidden="1">
      <c r="A8" s="20" t="s">
        <v>6</v>
      </c>
      <c r="B8" s="21" t="s">
        <v>1</v>
      </c>
      <c r="C8" s="22">
        <v>56638.61</v>
      </c>
      <c r="D8" s="22">
        <v>59612.13</v>
      </c>
      <c r="E8" s="22">
        <v>62927.07</v>
      </c>
      <c r="F8" s="22">
        <v>64059.75</v>
      </c>
      <c r="G8" s="22">
        <v>65340.95</v>
      </c>
      <c r="H8" s="51">
        <v>66484.48</v>
      </c>
      <c r="I8" s="50"/>
      <c r="K8" s="1" t="s">
        <v>1</v>
      </c>
    </row>
    <row r="9" spans="1:9" ht="15" hidden="1">
      <c r="A9" s="20" t="s">
        <v>7</v>
      </c>
      <c r="B9" s="21" t="s">
        <v>1</v>
      </c>
      <c r="C9" s="22">
        <v>18578.92</v>
      </c>
      <c r="D9" s="22">
        <v>19433.55</v>
      </c>
      <c r="E9" s="22">
        <v>20376.12</v>
      </c>
      <c r="F9" s="22">
        <v>20742.89</v>
      </c>
      <c r="G9" s="22">
        <v>21157.75</v>
      </c>
      <c r="H9" s="51">
        <v>21527.99</v>
      </c>
      <c r="I9" s="50"/>
    </row>
    <row r="10" spans="1:9" ht="15">
      <c r="A10" s="20" t="s">
        <v>8</v>
      </c>
      <c r="B10" s="21"/>
      <c r="C10" s="22">
        <v>16871.4</v>
      </c>
      <c r="D10" s="22">
        <v>17883.68</v>
      </c>
      <c r="E10" s="22">
        <v>19046.09</v>
      </c>
      <c r="F10" s="22">
        <v>20331.7</v>
      </c>
      <c r="G10" s="22">
        <v>21754.92</v>
      </c>
      <c r="H10" s="51">
        <v>23332.2</v>
      </c>
      <c r="I10" s="51">
        <f>23332.2*1.08^(8/12)</f>
        <v>24560.556001750887</v>
      </c>
    </row>
    <row r="11" spans="1:9" ht="15" hidden="1">
      <c r="A11" s="20" t="s">
        <v>9</v>
      </c>
      <c r="B11" s="24" t="s">
        <v>1</v>
      </c>
      <c r="C11" s="22">
        <v>21511.36</v>
      </c>
      <c r="D11" s="22">
        <v>22586.93</v>
      </c>
      <c r="E11" s="22">
        <v>23771.97</v>
      </c>
      <c r="F11" s="22">
        <v>25198.29</v>
      </c>
      <c r="G11" s="22">
        <v>26773.18</v>
      </c>
      <c r="H11" s="51">
        <v>28513.49</v>
      </c>
      <c r="I11" s="51"/>
    </row>
    <row r="12" spans="1:9" ht="15">
      <c r="A12" s="20" t="s">
        <v>29</v>
      </c>
      <c r="B12" s="24" t="s">
        <v>1</v>
      </c>
      <c r="C12" s="22">
        <v>52000</v>
      </c>
      <c r="D12" s="22">
        <v>54392</v>
      </c>
      <c r="E12" s="22">
        <v>57468.5</v>
      </c>
      <c r="F12" s="22">
        <v>58790.28</v>
      </c>
      <c r="G12" s="22">
        <v>60436.4</v>
      </c>
      <c r="H12" s="51">
        <v>62853.96</v>
      </c>
      <c r="I12" s="51">
        <f>62853.96*1.0185^(8/12)</f>
        <v>63626.788086798406</v>
      </c>
    </row>
    <row r="13" spans="1:9" ht="15">
      <c r="A13" s="20"/>
      <c r="B13" s="25"/>
      <c r="C13" s="22"/>
      <c r="D13" s="22"/>
      <c r="E13" s="22"/>
      <c r="F13" s="22"/>
      <c r="G13" s="22"/>
      <c r="H13" s="51"/>
      <c r="I13" s="51"/>
    </row>
    <row r="14" spans="1:9" ht="15">
      <c r="A14" s="20" t="s">
        <v>10</v>
      </c>
      <c r="B14" s="24">
        <v>10505239</v>
      </c>
      <c r="C14" s="22">
        <v>7894.68</v>
      </c>
      <c r="D14" s="22">
        <v>10348.74</v>
      </c>
      <c r="E14" s="22">
        <v>21325.41</v>
      </c>
      <c r="F14" s="26">
        <f>32923.51*1.056^(4/12)</f>
        <v>33526.95427948358</v>
      </c>
      <c r="G14" s="26">
        <f>45067.73*1.054^(4/12)</f>
        <v>45864.7700830799</v>
      </c>
      <c r="H14" s="51">
        <f>P55*(1+Q55)^(4/12)</f>
        <v>58773.46979091666</v>
      </c>
      <c r="I14" s="51">
        <v>71071.55</v>
      </c>
    </row>
    <row r="15" spans="1:9" ht="15">
      <c r="A15" s="20" t="s">
        <v>1</v>
      </c>
      <c r="B15" s="21" t="s">
        <v>1</v>
      </c>
      <c r="C15" s="22" t="s">
        <v>1</v>
      </c>
      <c r="D15" s="22" t="s">
        <v>1</v>
      </c>
      <c r="E15" s="22" t="s">
        <v>1</v>
      </c>
      <c r="F15" s="22"/>
      <c r="G15" s="22" t="s">
        <v>1</v>
      </c>
      <c r="H15" s="51" t="s">
        <v>1</v>
      </c>
      <c r="I15" s="51" t="s">
        <v>1</v>
      </c>
    </row>
    <row r="16" spans="1:9" ht="15">
      <c r="A16" s="20" t="s">
        <v>11</v>
      </c>
      <c r="B16" s="24" t="s">
        <v>12</v>
      </c>
      <c r="C16" s="22">
        <v>435.68</v>
      </c>
      <c r="D16" s="22">
        <v>735.11</v>
      </c>
      <c r="E16" s="22">
        <v>1799</v>
      </c>
      <c r="F16" s="22">
        <v>1059.83</v>
      </c>
      <c r="G16" s="22">
        <v>799.98</v>
      </c>
      <c r="H16" s="51">
        <f>1564.13+387.62</f>
        <v>1951.75</v>
      </c>
      <c r="I16" s="51">
        <v>953.41</v>
      </c>
    </row>
    <row r="17" spans="1:9" ht="15">
      <c r="A17" s="20" t="s">
        <v>54</v>
      </c>
      <c r="B17" s="24">
        <v>19570010</v>
      </c>
      <c r="C17" s="22"/>
      <c r="D17" s="22"/>
      <c r="E17" s="22"/>
      <c r="F17" s="22"/>
      <c r="G17" s="22"/>
      <c r="H17" s="51">
        <v>15406.49</v>
      </c>
      <c r="I17" s="51">
        <v>167.51</v>
      </c>
    </row>
    <row r="18" spans="1:9" ht="15">
      <c r="A18" s="20" t="s">
        <v>55</v>
      </c>
      <c r="B18" s="24">
        <v>3501631220</v>
      </c>
      <c r="C18" s="22"/>
      <c r="D18" s="22" t="s">
        <v>1</v>
      </c>
      <c r="E18" s="22"/>
      <c r="F18" s="22"/>
      <c r="G18" s="22"/>
      <c r="H18" s="51"/>
      <c r="I18" s="51">
        <f>40000*(1.034^((13+31+28+31+30+31+30)/365))</f>
        <v>40717.18611584565</v>
      </c>
    </row>
    <row r="19" spans="1:9" ht="15">
      <c r="A19" s="20" t="s">
        <v>58</v>
      </c>
      <c r="B19" s="24"/>
      <c r="C19" s="22"/>
      <c r="D19" s="22"/>
      <c r="E19" s="22"/>
      <c r="F19" s="22"/>
      <c r="G19" s="22"/>
      <c r="H19" s="51"/>
      <c r="I19" s="51">
        <f>10000*1.024^((25+31+30+31+30)/365)</f>
        <v>10095.9734942727</v>
      </c>
    </row>
    <row r="20" spans="1:9" ht="15">
      <c r="A20" s="20" t="s">
        <v>56</v>
      </c>
      <c r="B20" s="24" t="s">
        <v>13</v>
      </c>
      <c r="C20" s="22">
        <v>0</v>
      </c>
      <c r="D20" s="22">
        <v>91.66</v>
      </c>
      <c r="E20" s="22">
        <v>175.94</v>
      </c>
      <c r="F20" s="22">
        <v>883.89</v>
      </c>
      <c r="G20" s="22">
        <v>658.92</v>
      </c>
      <c r="H20" s="51">
        <v>126.26</v>
      </c>
      <c r="I20" s="51">
        <v>11323.84</v>
      </c>
    </row>
    <row r="21" spans="1:9" ht="15">
      <c r="A21" s="20" t="s">
        <v>57</v>
      </c>
      <c r="B21" s="24"/>
      <c r="C21" s="22"/>
      <c r="D21" s="22"/>
      <c r="E21" s="22"/>
      <c r="F21" s="22"/>
      <c r="G21" s="22"/>
      <c r="H21" s="51"/>
      <c r="I21" s="51">
        <f>100000*1.035^((30+31+30)/365)</f>
        <v>100861.36801358014</v>
      </c>
    </row>
    <row r="22" spans="1:9" ht="15">
      <c r="A22" s="20" t="s">
        <v>14</v>
      </c>
      <c r="B22" s="24" t="s">
        <v>15</v>
      </c>
      <c r="C22" s="22">
        <v>50</v>
      </c>
      <c r="D22" s="22">
        <v>50</v>
      </c>
      <c r="E22" s="22">
        <v>50</v>
      </c>
      <c r="F22" s="22">
        <v>50</v>
      </c>
      <c r="G22" s="22">
        <v>50</v>
      </c>
      <c r="H22" s="51">
        <v>50</v>
      </c>
      <c r="I22" s="51">
        <v>50</v>
      </c>
    </row>
    <row r="23" spans="1:9" ht="15">
      <c r="A23" s="20" t="s">
        <v>1</v>
      </c>
      <c r="B23" s="24" t="s">
        <v>16</v>
      </c>
      <c r="C23" s="22">
        <v>985.58</v>
      </c>
      <c r="D23" s="22">
        <v>417.04</v>
      </c>
      <c r="E23" s="22">
        <v>1672.79</v>
      </c>
      <c r="F23" s="22">
        <v>2491.19</v>
      </c>
      <c r="G23" s="22">
        <v>1022.67</v>
      </c>
      <c r="H23" s="51">
        <v>1914.44</v>
      </c>
      <c r="I23" s="51">
        <v>1571.66</v>
      </c>
    </row>
    <row r="24" spans="1:9" ht="15">
      <c r="A24" s="20"/>
      <c r="B24" s="27" t="s">
        <v>17</v>
      </c>
      <c r="C24" s="22">
        <v>4399.42</v>
      </c>
      <c r="D24" s="22">
        <v>4930.02</v>
      </c>
      <c r="E24" s="22">
        <v>2459.54</v>
      </c>
      <c r="F24" s="22">
        <v>2423.22</v>
      </c>
      <c r="G24" s="22">
        <v>7678.8</v>
      </c>
      <c r="H24" s="51">
        <v>2692.7</v>
      </c>
      <c r="I24" s="51">
        <v>3819.98</v>
      </c>
    </row>
    <row r="25" spans="1:9" ht="15">
      <c r="A25" s="20" t="s">
        <v>33</v>
      </c>
      <c r="B25" s="27"/>
      <c r="C25" s="22">
        <v>7894.76</v>
      </c>
      <c r="D25" s="22">
        <v>8018.6</v>
      </c>
      <c r="E25" s="22">
        <v>8021.2</v>
      </c>
      <c r="F25" s="22">
        <v>8029.34</v>
      </c>
      <c r="G25" s="22">
        <v>7966.41</v>
      </c>
      <c r="H25" s="51">
        <v>7917.76</v>
      </c>
      <c r="I25" s="51">
        <f>173.04</f>
        <v>173.04</v>
      </c>
    </row>
    <row r="26" spans="1:9" ht="15">
      <c r="A26" s="20"/>
      <c r="B26" s="27"/>
      <c r="C26" s="22"/>
      <c r="D26" s="22"/>
      <c r="E26" s="22"/>
      <c r="F26" s="22"/>
      <c r="G26" s="22"/>
      <c r="H26" s="51"/>
      <c r="I26" s="51"/>
    </row>
    <row r="27" spans="1:9" ht="15">
      <c r="A27" s="20" t="s">
        <v>18</v>
      </c>
      <c r="B27" s="27"/>
      <c r="C27" s="22">
        <v>14218.4</v>
      </c>
      <c r="D27" s="22">
        <v>15476.11</v>
      </c>
      <c r="E27" s="22">
        <v>14204.68</v>
      </c>
      <c r="F27" s="22">
        <v>14460.37</v>
      </c>
      <c r="G27" s="22">
        <v>14749.57</v>
      </c>
      <c r="H27" s="51">
        <f>G27*1.0175</f>
        <v>15007.687475</v>
      </c>
      <c r="I27" s="51">
        <f>H27*1.0175</f>
        <v>15270.322005812503</v>
      </c>
    </row>
    <row r="28" spans="1:9" ht="15">
      <c r="A28" s="20" t="s">
        <v>96</v>
      </c>
      <c r="B28" s="27"/>
      <c r="C28" s="22"/>
      <c r="D28" s="22"/>
      <c r="E28" s="22"/>
      <c r="F28" s="22"/>
      <c r="G28" s="22"/>
      <c r="H28" s="51"/>
      <c r="I28" s="51">
        <f>10000*1.015^((12+28+31+30+31+30)/365)</f>
        <v>10066.299781458927</v>
      </c>
    </row>
    <row r="29" spans="1:9" ht="15.75" thickBot="1">
      <c r="A29" s="20"/>
      <c r="B29" s="24" t="s">
        <v>1</v>
      </c>
      <c r="C29" s="22"/>
      <c r="D29" s="22"/>
      <c r="E29" s="22"/>
      <c r="F29" s="22"/>
      <c r="G29" s="22"/>
      <c r="H29" s="51"/>
      <c r="I29" s="51"/>
    </row>
    <row r="30" spans="1:18" ht="15">
      <c r="A30" s="20" t="s">
        <v>19</v>
      </c>
      <c r="B30" s="21"/>
      <c r="C30" s="26">
        <f>104411.05*(1+$M$38)^(4/12)-C25</f>
        <v>98418.43000599317</v>
      </c>
      <c r="D30" s="26">
        <f>103397.54*(1+$M$38)^(4/12)-D25</f>
        <v>97262.61607983329</v>
      </c>
      <c r="E30" s="26">
        <f>101427.31*(1+$M$38)^(4/12)-E25</f>
        <v>95253.89281658187</v>
      </c>
      <c r="F30" s="26">
        <f>98896.22*(1+M38)^(4/12)-F25</f>
        <v>92668.55191598496</v>
      </c>
      <c r="G30" s="26">
        <f>95934.66*(1+M38)^(4/12)-G25</f>
        <v>89715.96879745823</v>
      </c>
      <c r="H30" s="51">
        <f>92942.23*(1+M38)^(4/12)-H25</f>
        <v>86717.67329533338</v>
      </c>
      <c r="I30" s="51">
        <f>N38</f>
        <v>89869.52789982763</v>
      </c>
      <c r="L30" s="40">
        <v>61111.81</v>
      </c>
      <c r="M30" s="41">
        <v>0.0575</v>
      </c>
      <c r="N30" s="42">
        <f aca="true" t="shared" si="0" ref="N30:N35">L30*(1+M30)^0.5</f>
        <v>62844.21920480019</v>
      </c>
      <c r="O30" s="15"/>
      <c r="P30" s="40">
        <v>4362.8</v>
      </c>
      <c r="Q30" s="41">
        <v>0.0625</v>
      </c>
      <c r="R30" s="42">
        <f>P30*Q30</f>
        <v>272.675</v>
      </c>
    </row>
    <row r="31" spans="1:18" ht="15.75" thickBot="1">
      <c r="A31" s="140"/>
      <c r="B31" s="21"/>
      <c r="C31" s="22"/>
      <c r="D31" s="22"/>
      <c r="E31" s="22"/>
      <c r="F31" s="22"/>
      <c r="G31" s="22"/>
      <c r="H31" s="37"/>
      <c r="I31" s="51"/>
      <c r="L31" s="43">
        <v>2425.2</v>
      </c>
      <c r="M31" s="44">
        <v>0.0415</v>
      </c>
      <c r="N31" s="45">
        <v>2475.29</v>
      </c>
      <c r="O31" s="15"/>
      <c r="P31" s="43">
        <v>6184.92</v>
      </c>
      <c r="Q31" s="44">
        <v>0.06075</v>
      </c>
      <c r="R31" s="45">
        <f aca="true" t="shared" si="1" ref="R31:R41">P31*Q31</f>
        <v>375.73389</v>
      </c>
    </row>
    <row r="32" spans="1:18" ht="16.5" thickBot="1">
      <c r="A32" s="142" t="s">
        <v>2</v>
      </c>
      <c r="B32" s="105" t="s">
        <v>1</v>
      </c>
      <c r="C32" s="143">
        <f aca="true" t="shared" si="2" ref="C32:H32">SUM(C6:C30)</f>
        <v>350662.10000599315</v>
      </c>
      <c r="D32" s="143">
        <f t="shared" si="2"/>
        <v>364668.19607983326</v>
      </c>
      <c r="E32" s="143">
        <f t="shared" si="2"/>
        <v>384922.41281658184</v>
      </c>
      <c r="F32" s="143">
        <f t="shared" si="2"/>
        <v>402101.1361954686</v>
      </c>
      <c r="G32" s="143">
        <f t="shared" si="2"/>
        <v>417041.93888053804</v>
      </c>
      <c r="H32" s="144">
        <f t="shared" si="2"/>
        <v>436343.14056125004</v>
      </c>
      <c r="I32" s="145">
        <f>SUM(I6:I30)</f>
        <v>444199.0113993468</v>
      </c>
      <c r="L32" s="43">
        <v>10569.63</v>
      </c>
      <c r="M32" s="44">
        <v>0.05125</v>
      </c>
      <c r="N32" s="45">
        <v>10837.1</v>
      </c>
      <c r="O32" s="15"/>
      <c r="P32" s="43">
        <v>5731.27</v>
      </c>
      <c r="Q32" s="44">
        <v>0.05375</v>
      </c>
      <c r="R32" s="45">
        <f t="shared" si="1"/>
        <v>308.0557625</v>
      </c>
    </row>
    <row r="33" spans="1:18" ht="15">
      <c r="A33" s="141" t="s">
        <v>34</v>
      </c>
      <c r="B33" s="24"/>
      <c r="C33" s="35"/>
      <c r="D33" s="35">
        <f aca="true" t="shared" si="3" ref="D33:I33">D32-C32</f>
        <v>14006.096073840105</v>
      </c>
      <c r="E33" s="35">
        <f t="shared" si="3"/>
        <v>20254.21673674858</v>
      </c>
      <c r="F33" s="35">
        <f t="shared" si="3"/>
        <v>17178.72337888676</v>
      </c>
      <c r="G33" s="35">
        <f t="shared" si="3"/>
        <v>14940.802685069444</v>
      </c>
      <c r="H33" s="38">
        <f t="shared" si="3"/>
        <v>19301.201680711994</v>
      </c>
      <c r="I33" s="38">
        <f t="shared" si="3"/>
        <v>7855.870838096773</v>
      </c>
      <c r="L33" s="43">
        <v>10713.69</v>
      </c>
      <c r="M33" s="44">
        <v>0.056</v>
      </c>
      <c r="N33" s="45">
        <f t="shared" si="0"/>
        <v>11009.587186057506</v>
      </c>
      <c r="O33" s="15"/>
      <c r="P33" s="43">
        <v>5763.2</v>
      </c>
      <c r="Q33" s="44">
        <v>0.056</v>
      </c>
      <c r="R33" s="45">
        <f t="shared" si="1"/>
        <v>322.7392</v>
      </c>
    </row>
    <row r="34" spans="1:18" ht="15">
      <c r="A34" s="20"/>
      <c r="B34" s="24" t="s">
        <v>1</v>
      </c>
      <c r="C34" s="22" t="s">
        <v>1</v>
      </c>
      <c r="D34" s="22" t="s">
        <v>1</v>
      </c>
      <c r="E34" s="22" t="s">
        <v>1</v>
      </c>
      <c r="F34" s="22" t="s">
        <v>1</v>
      </c>
      <c r="G34" s="22" t="s">
        <v>1</v>
      </c>
      <c r="H34" s="37" t="s">
        <v>1</v>
      </c>
      <c r="I34" s="51" t="s">
        <v>1</v>
      </c>
      <c r="L34" s="43">
        <v>1395.77</v>
      </c>
      <c r="M34" s="44">
        <v>0.04675</v>
      </c>
      <c r="N34" s="45">
        <f t="shared" si="0"/>
        <v>1428.0234670316433</v>
      </c>
      <c r="O34" s="15"/>
      <c r="P34" s="43">
        <v>4315.63</v>
      </c>
      <c r="Q34" s="44">
        <v>0.05125</v>
      </c>
      <c r="R34" s="45">
        <f t="shared" si="1"/>
        <v>221.17603749999998</v>
      </c>
    </row>
    <row r="35" spans="1:18" ht="15.75" thickBot="1">
      <c r="A35" s="28" t="s">
        <v>20</v>
      </c>
      <c r="B35" s="29"/>
      <c r="C35" s="30">
        <f>SUM(C6:C24)+(1-0.496625)*C30</f>
        <v>279671.88720426685</v>
      </c>
      <c r="D35" s="30">
        <f>SUM(D6:D24)+(1-0.496625)*D30</f>
        <v>292870.43936918606</v>
      </c>
      <c r="E35" s="30">
        <f>SUM(E6:E24)+(1-0.496625)*E30</f>
        <v>315391.0682965469</v>
      </c>
      <c r="F35" s="30">
        <f>SUM(F6:F24)+(1-0.476325)*F30</f>
        <v>335471.07820408704</v>
      </c>
      <c r="G35" s="30">
        <f>SUM(G6:G24)+(1-0.476325)*G30</f>
        <v>351592.0000430888</v>
      </c>
      <c r="H35" s="39">
        <f>SUM(H6:H24)+(1-0.4825)*H30</f>
        <v>371576.4157212517</v>
      </c>
      <c r="I35" s="139">
        <f>SUM(I6:I24)+(1-0.4825)*I30</f>
        <v>375327.3024004086</v>
      </c>
      <c r="L35" s="43">
        <v>1252.35</v>
      </c>
      <c r="M35" s="44">
        <v>0.037</v>
      </c>
      <c r="N35" s="45">
        <f t="shared" si="0"/>
        <v>1275.3080419382995</v>
      </c>
      <c r="O35" s="15"/>
      <c r="P35" s="43">
        <v>4213.25</v>
      </c>
      <c r="Q35" s="44">
        <v>0.04425</v>
      </c>
      <c r="R35" s="45">
        <f t="shared" si="1"/>
        <v>186.43631249999999</v>
      </c>
    </row>
    <row r="36" spans="2:18" ht="15">
      <c r="B36" s="3" t="s">
        <v>1</v>
      </c>
      <c r="C36" s="2" t="s">
        <v>1</v>
      </c>
      <c r="D36" s="2" t="s">
        <v>1</v>
      </c>
      <c r="I36" s="6"/>
      <c r="L36" s="43"/>
      <c r="M36" s="44"/>
      <c r="N36" s="45"/>
      <c r="O36" s="15"/>
      <c r="P36" s="43">
        <v>3553.23</v>
      </c>
      <c r="Q36" s="44">
        <v>0.04075</v>
      </c>
      <c r="R36" s="45">
        <f t="shared" si="1"/>
        <v>144.79412250000001</v>
      </c>
    </row>
    <row r="37" spans="3:18" ht="15.75" thickBot="1">
      <c r="C37" s="2"/>
      <c r="D37" s="2"/>
      <c r="I37" s="6"/>
      <c r="L37" s="43"/>
      <c r="M37" s="46"/>
      <c r="N37" s="45"/>
      <c r="O37" s="15"/>
      <c r="P37" s="43">
        <v>3602.51</v>
      </c>
      <c r="Q37" s="44">
        <v>0.04975</v>
      </c>
      <c r="R37" s="45">
        <f t="shared" si="1"/>
        <v>179.22487250000003</v>
      </c>
    </row>
    <row r="38" spans="3:18" ht="16.5" thickBot="1">
      <c r="C38" s="2"/>
      <c r="D38" s="2"/>
      <c r="I38" s="6"/>
      <c r="L38" s="121">
        <f>SUM(L30:L36)</f>
        <v>87468.45000000001</v>
      </c>
      <c r="M38" s="122">
        <f>(N38/L38)^2-1</f>
        <v>0.05565512228310898</v>
      </c>
      <c r="N38" s="123">
        <f>SUM(N30:N36)</f>
        <v>89869.52789982763</v>
      </c>
      <c r="O38" s="15"/>
      <c r="P38" s="43">
        <v>3613.51</v>
      </c>
      <c r="Q38" s="44">
        <v>0.05175</v>
      </c>
      <c r="R38" s="45">
        <f t="shared" si="1"/>
        <v>186.9991425</v>
      </c>
    </row>
    <row r="39" spans="3:18" ht="15.75" thickBot="1">
      <c r="C39" s="2"/>
      <c r="D39" s="2"/>
      <c r="L39" s="15"/>
      <c r="M39" s="15"/>
      <c r="N39" s="15"/>
      <c r="O39" s="15"/>
      <c r="P39" s="43">
        <v>5153.6</v>
      </c>
      <c r="Q39" s="44">
        <v>0.0515</v>
      </c>
      <c r="R39" s="45">
        <f t="shared" si="1"/>
        <v>265.4104</v>
      </c>
    </row>
    <row r="40" spans="1:18" ht="16.5" thickBot="1">
      <c r="A40" s="107" t="s">
        <v>59</v>
      </c>
      <c r="B40" s="109"/>
      <c r="C40" s="130"/>
      <c r="D40" s="130"/>
      <c r="E40" s="131"/>
      <c r="L40" s="15"/>
      <c r="M40" s="15"/>
      <c r="N40" s="15"/>
      <c r="O40" s="15"/>
      <c r="P40" s="43">
        <v>5158.02</v>
      </c>
      <c r="Q40" s="44">
        <v>0.053</v>
      </c>
      <c r="R40" s="45">
        <f t="shared" si="1"/>
        <v>273.37506</v>
      </c>
    </row>
    <row r="41" spans="3:18" ht="15.75" thickBot="1">
      <c r="C41" s="2"/>
      <c r="D41" s="2"/>
      <c r="L41" s="15"/>
      <c r="M41" s="15"/>
      <c r="N41" s="15"/>
      <c r="O41" s="15"/>
      <c r="P41" s="43">
        <v>6124.55</v>
      </c>
      <c r="Q41" s="44">
        <v>0.05</v>
      </c>
      <c r="R41" s="45">
        <f t="shared" si="1"/>
        <v>306.2275</v>
      </c>
    </row>
    <row r="42" spans="1:18" ht="15">
      <c r="A42" s="125" t="s">
        <v>61</v>
      </c>
      <c r="B42" s="19" t="s">
        <v>62</v>
      </c>
      <c r="C42" s="103"/>
      <c r="D42" s="103"/>
      <c r="E42" s="59"/>
      <c r="L42" s="15"/>
      <c r="M42" s="15"/>
      <c r="N42" s="15"/>
      <c r="O42" s="15"/>
      <c r="P42" s="43"/>
      <c r="Q42" s="44"/>
      <c r="R42" s="45"/>
    </row>
    <row r="43" spans="1:18" ht="15">
      <c r="A43" s="126" t="s">
        <v>63</v>
      </c>
      <c r="B43" s="21" t="s">
        <v>64</v>
      </c>
      <c r="C43" s="22"/>
      <c r="D43" s="22"/>
      <c r="E43" s="99"/>
      <c r="L43" s="15"/>
      <c r="M43" s="15"/>
      <c r="N43" s="15"/>
      <c r="O43" s="15"/>
      <c r="P43" s="43"/>
      <c r="Q43" s="44"/>
      <c r="R43" s="45"/>
    </row>
    <row r="44" spans="1:18" ht="15">
      <c r="A44" s="126" t="s">
        <v>65</v>
      </c>
      <c r="B44" s="21" t="s">
        <v>82</v>
      </c>
      <c r="C44" s="22"/>
      <c r="D44" s="22"/>
      <c r="E44" s="99"/>
      <c r="L44" s="15"/>
      <c r="M44" s="15"/>
      <c r="N44" s="15"/>
      <c r="O44" s="15"/>
      <c r="P44" s="43"/>
      <c r="Q44" s="44"/>
      <c r="R44" s="45"/>
    </row>
    <row r="45" spans="1:18" ht="15.75" thickBot="1">
      <c r="A45" s="127" t="s">
        <v>66</v>
      </c>
      <c r="B45" s="55" t="s">
        <v>67</v>
      </c>
      <c r="C45" s="30"/>
      <c r="D45" s="30"/>
      <c r="E45" s="128"/>
      <c r="L45" s="15"/>
      <c r="M45" s="15"/>
      <c r="N45" s="15"/>
      <c r="O45" s="15"/>
      <c r="P45" s="43"/>
      <c r="Q45" s="44"/>
      <c r="R45" s="45"/>
    </row>
    <row r="46" spans="1:18" ht="15.75" thickBot="1">
      <c r="A46" s="124"/>
      <c r="C46" s="2"/>
      <c r="D46" s="2"/>
      <c r="L46" s="15"/>
      <c r="M46" s="15"/>
      <c r="N46" s="15"/>
      <c r="O46" s="15"/>
      <c r="P46" s="43"/>
      <c r="Q46" s="44"/>
      <c r="R46" s="45"/>
    </row>
    <row r="47" spans="1:18" ht="15">
      <c r="A47" s="125" t="s">
        <v>68</v>
      </c>
      <c r="B47" s="19" t="s">
        <v>69</v>
      </c>
      <c r="C47" s="103"/>
      <c r="D47" s="103"/>
      <c r="E47" s="59"/>
      <c r="L47" s="15"/>
      <c r="M47" s="15"/>
      <c r="N47" s="15"/>
      <c r="O47" s="15"/>
      <c r="P47" s="43"/>
      <c r="Q47" s="44"/>
      <c r="R47" s="45"/>
    </row>
    <row r="48" spans="1:18" ht="15">
      <c r="A48" s="126" t="s">
        <v>68</v>
      </c>
      <c r="B48" s="21" t="s">
        <v>70</v>
      </c>
      <c r="C48" s="22"/>
      <c r="D48" s="22"/>
      <c r="E48" s="99"/>
      <c r="L48" s="15"/>
      <c r="M48" s="15"/>
      <c r="N48" s="15"/>
      <c r="O48" s="15"/>
      <c r="P48" s="43"/>
      <c r="Q48" s="44"/>
      <c r="R48" s="45"/>
    </row>
    <row r="49" spans="1:18" ht="15">
      <c r="A49" s="126" t="s">
        <v>66</v>
      </c>
      <c r="B49" s="21" t="s">
        <v>71</v>
      </c>
      <c r="C49" s="22"/>
      <c r="D49" s="22"/>
      <c r="E49" s="99"/>
      <c r="L49" s="15"/>
      <c r="M49" s="15"/>
      <c r="N49" s="15"/>
      <c r="O49" s="15"/>
      <c r="P49" s="43"/>
      <c r="Q49" s="44"/>
      <c r="R49" s="45"/>
    </row>
    <row r="50" spans="1:18" ht="15.75" thickBot="1">
      <c r="A50" s="127" t="s">
        <v>72</v>
      </c>
      <c r="B50" s="55" t="s">
        <v>73</v>
      </c>
      <c r="C50" s="30"/>
      <c r="D50" s="30"/>
      <c r="E50" s="128"/>
      <c r="L50" s="15"/>
      <c r="M50" s="15"/>
      <c r="N50" s="15"/>
      <c r="O50" s="15"/>
      <c r="P50" s="43"/>
      <c r="Q50" s="44"/>
      <c r="R50" s="45"/>
    </row>
    <row r="51" spans="1:18" ht="15.75" thickBot="1">
      <c r="A51" s="138"/>
      <c r="B51" s="21"/>
      <c r="C51" s="22"/>
      <c r="D51" s="22"/>
      <c r="E51" s="21"/>
      <c r="L51" s="15"/>
      <c r="M51" s="15"/>
      <c r="N51" s="15"/>
      <c r="O51" s="15"/>
      <c r="P51" s="43"/>
      <c r="Q51" s="44"/>
      <c r="R51" s="45"/>
    </row>
    <row r="52" spans="1:18" ht="15.75" thickBot="1">
      <c r="A52" s="149" t="s">
        <v>97</v>
      </c>
      <c r="B52" s="150" t="s">
        <v>87</v>
      </c>
      <c r="C52" s="151"/>
      <c r="D52" s="151"/>
      <c r="E52" s="152"/>
      <c r="L52" s="15"/>
      <c r="M52" s="15"/>
      <c r="N52" s="15"/>
      <c r="O52" s="15"/>
      <c r="P52" s="43"/>
      <c r="Q52" s="44"/>
      <c r="R52" s="45"/>
    </row>
    <row r="53" spans="1:18" ht="15.75" thickBot="1">
      <c r="A53" s="124"/>
      <c r="C53" s="2"/>
      <c r="D53" s="2"/>
      <c r="G53" s="1" t="s">
        <v>1</v>
      </c>
      <c r="L53" s="15"/>
      <c r="M53" s="15"/>
      <c r="N53" s="15"/>
      <c r="O53" s="15"/>
      <c r="P53" s="43"/>
      <c r="Q53" s="44"/>
      <c r="R53" s="45"/>
    </row>
    <row r="54" spans="1:18" ht="15">
      <c r="A54" s="132" t="s">
        <v>75</v>
      </c>
      <c r="B54" s="19" t="s">
        <v>60</v>
      </c>
      <c r="C54" s="103"/>
      <c r="D54" s="103"/>
      <c r="E54" s="59"/>
      <c r="G54" s="1" t="s">
        <v>1</v>
      </c>
      <c r="L54" s="15"/>
      <c r="M54" s="15"/>
      <c r="N54" s="15"/>
      <c r="O54" s="15"/>
      <c r="P54" s="43"/>
      <c r="Q54" s="44"/>
      <c r="R54" s="45"/>
    </row>
    <row r="55" spans="1:18" ht="15.75" thickBot="1">
      <c r="A55" s="126" t="s">
        <v>83</v>
      </c>
      <c r="B55" s="21" t="s">
        <v>88</v>
      </c>
      <c r="C55" s="22"/>
      <c r="D55" s="22"/>
      <c r="E55" s="99"/>
      <c r="L55" s="15"/>
      <c r="M55" s="15"/>
      <c r="N55" s="15"/>
      <c r="O55" s="15"/>
      <c r="P55" s="47">
        <f>SUM(P30:P41)</f>
        <v>57776.490000000005</v>
      </c>
      <c r="Q55" s="48">
        <f>R55/P55</f>
        <v>0.05266583864821139</v>
      </c>
      <c r="R55" s="49">
        <f>SUM(R30:R41)</f>
        <v>3042.847299999999</v>
      </c>
    </row>
    <row r="56" spans="1:17" ht="15">
      <c r="A56" s="126" t="s">
        <v>84</v>
      </c>
      <c r="B56" s="21" t="s">
        <v>89</v>
      </c>
      <c r="C56" s="22"/>
      <c r="D56" s="22"/>
      <c r="E56" s="99"/>
      <c r="L56" s="15"/>
      <c r="M56" s="15"/>
      <c r="N56" s="15"/>
      <c r="O56" s="15"/>
      <c r="P56" s="15"/>
      <c r="Q56" s="34"/>
    </row>
    <row r="57" spans="1:17" ht="15.75" thickBot="1">
      <c r="A57" s="133" t="s">
        <v>85</v>
      </c>
      <c r="B57" s="134" t="s">
        <v>90</v>
      </c>
      <c r="C57" s="30"/>
      <c r="D57" s="30"/>
      <c r="E57" s="128"/>
      <c r="L57" s="15"/>
      <c r="M57" s="15"/>
      <c r="N57" s="15"/>
      <c r="O57" s="15"/>
      <c r="P57" s="15"/>
      <c r="Q57" s="34"/>
    </row>
    <row r="58" spans="1:17" ht="15.75" thickBot="1">
      <c r="A58" s="136"/>
      <c r="B58" s="136"/>
      <c r="C58" s="22"/>
      <c r="D58" s="22"/>
      <c r="E58" s="21"/>
      <c r="L58" s="15"/>
      <c r="M58" s="15"/>
      <c r="N58" s="15"/>
      <c r="O58" s="15"/>
      <c r="P58" s="15"/>
      <c r="Q58" s="34"/>
    </row>
    <row r="59" spans="1:17" ht="15.75" thickBot="1">
      <c r="A59" s="137" t="s">
        <v>92</v>
      </c>
      <c r="B59" s="106" t="s">
        <v>86</v>
      </c>
      <c r="C59" s="108"/>
      <c r="D59" s="108"/>
      <c r="E59" s="129"/>
      <c r="L59" s="15"/>
      <c r="M59" s="15"/>
      <c r="N59" s="15"/>
      <c r="O59" s="15"/>
      <c r="P59" s="15"/>
      <c r="Q59" s="34"/>
    </row>
    <row r="60" spans="3:17" ht="15.75" thickBot="1">
      <c r="C60" s="2"/>
      <c r="D60" s="2"/>
      <c r="L60" s="15"/>
      <c r="M60" s="15"/>
      <c r="N60" s="15"/>
      <c r="O60" s="15"/>
      <c r="P60" s="15"/>
      <c r="Q60" s="15"/>
    </row>
    <row r="61" spans="1:5" ht="15">
      <c r="A61" s="125" t="s">
        <v>74</v>
      </c>
      <c r="B61" s="19" t="s">
        <v>76</v>
      </c>
      <c r="C61" s="103"/>
      <c r="D61" s="103"/>
      <c r="E61" s="59"/>
    </row>
    <row r="62" spans="1:5" ht="15">
      <c r="A62" s="126" t="s">
        <v>91</v>
      </c>
      <c r="B62" s="21" t="s">
        <v>89</v>
      </c>
      <c r="C62" s="22"/>
      <c r="D62" s="22"/>
      <c r="E62" s="99"/>
    </row>
    <row r="63" spans="1:5" ht="15.75" thickBot="1">
      <c r="A63" s="133" t="s">
        <v>93</v>
      </c>
      <c r="B63" s="55" t="s">
        <v>89</v>
      </c>
      <c r="C63" s="30"/>
      <c r="D63" s="30"/>
      <c r="E63" s="128"/>
    </row>
    <row r="64" spans="3:4" ht="15.75" thickBot="1">
      <c r="C64" s="2"/>
      <c r="D64" s="2"/>
    </row>
    <row r="65" spans="1:5" ht="15">
      <c r="A65" s="125" t="s">
        <v>77</v>
      </c>
      <c r="B65" s="19" t="s">
        <v>78</v>
      </c>
      <c r="C65" s="103"/>
      <c r="D65" s="103"/>
      <c r="E65" s="59"/>
    </row>
    <row r="66" spans="1:5" ht="15">
      <c r="A66" s="135" t="s">
        <v>77</v>
      </c>
      <c r="B66" s="21" t="s">
        <v>79</v>
      </c>
      <c r="C66" s="22"/>
      <c r="D66" s="22"/>
      <c r="E66" s="99"/>
    </row>
    <row r="67" spans="1:5" ht="15.75" thickBot="1">
      <c r="A67" s="133" t="s">
        <v>94</v>
      </c>
      <c r="B67" s="55" t="s">
        <v>95</v>
      </c>
      <c r="C67" s="30"/>
      <c r="D67" s="30"/>
      <c r="E67" s="128"/>
    </row>
    <row r="68" spans="2:4" ht="15.75" thickBot="1">
      <c r="B68" s="1" t="s">
        <v>1</v>
      </c>
      <c r="C68" s="2"/>
      <c r="D68" s="2"/>
    </row>
    <row r="69" spans="1:5" ht="15.75" thickBot="1">
      <c r="A69" s="137" t="s">
        <v>80</v>
      </c>
      <c r="B69" s="106" t="s">
        <v>81</v>
      </c>
      <c r="C69" s="108"/>
      <c r="D69" s="108"/>
      <c r="E69" s="129"/>
    </row>
    <row r="70" spans="3:4" ht="15">
      <c r="C70" s="2"/>
      <c r="D70" s="2"/>
    </row>
    <row r="71" spans="2:4" ht="15">
      <c r="B71" s="1" t="s">
        <v>1</v>
      </c>
      <c r="C71" s="2" t="s">
        <v>1</v>
      </c>
      <c r="D71" s="2"/>
    </row>
    <row r="72" spans="2:4" ht="15">
      <c r="B72" s="1" t="s">
        <v>1</v>
      </c>
      <c r="C72" s="2" t="s">
        <v>1</v>
      </c>
      <c r="D72" s="2"/>
    </row>
    <row r="73" spans="3:4" ht="15">
      <c r="C73" s="2" t="s">
        <v>1</v>
      </c>
      <c r="D73" s="2"/>
    </row>
    <row r="74" spans="3:4" ht="15">
      <c r="C74" s="2" t="s">
        <v>1</v>
      </c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</sheetData>
  <printOptions gridLines="1"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2" sqref="A12"/>
    </sheetView>
  </sheetViews>
  <sheetFormatPr defaultColWidth="9.140625" defaultRowHeight="12.75"/>
  <cols>
    <col min="1" max="1" width="5.57421875" style="61" bestFit="1" customWidth="1"/>
    <col min="2" max="2" width="11.8515625" style="61" bestFit="1" customWidth="1"/>
    <col min="3" max="3" width="13.140625" style="61" bestFit="1" customWidth="1"/>
    <col min="4" max="4" width="9.8515625" style="61" bestFit="1" customWidth="1"/>
    <col min="5" max="5" width="10.8515625" style="61" bestFit="1" customWidth="1"/>
    <col min="6" max="7" width="10.8515625" style="61" customWidth="1"/>
    <col min="8" max="8" width="12.8515625" style="61" bestFit="1" customWidth="1"/>
    <col min="9" max="9" width="9.8515625" style="61" bestFit="1" customWidth="1"/>
    <col min="10" max="10" width="1.8515625" style="61" customWidth="1"/>
    <col min="11" max="13" width="13.140625" style="61" bestFit="1" customWidth="1"/>
    <col min="14" max="14" width="11.8515625" style="61" customWidth="1"/>
    <col min="15" max="18" width="13.140625" style="61" bestFit="1" customWidth="1"/>
    <col min="19" max="19" width="12.00390625" style="61" bestFit="1" customWidth="1"/>
    <col min="20" max="20" width="10.28125" style="61" bestFit="1" customWidth="1"/>
    <col min="21" max="21" width="6.8515625" style="61" bestFit="1" customWidth="1"/>
    <col min="22" max="22" width="9.8515625" style="61" bestFit="1" customWidth="1"/>
    <col min="23" max="16384" width="9.140625" style="61" customWidth="1"/>
  </cols>
  <sheetData>
    <row r="1" spans="1:22" ht="15.75" thickBot="1">
      <c r="A1" s="315" t="s">
        <v>199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 t="s">
        <v>199</v>
      </c>
      <c r="N1" s="316"/>
      <c r="O1" s="316"/>
      <c r="P1" s="316"/>
      <c r="Q1" s="316"/>
      <c r="R1" s="316"/>
      <c r="S1" s="316"/>
      <c r="T1" s="316"/>
      <c r="U1" s="316"/>
      <c r="V1" s="317"/>
    </row>
    <row r="2" ht="9" customHeight="1" thickBot="1"/>
    <row r="3" spans="1:22" ht="15.75" thickBot="1">
      <c r="A3" s="310"/>
      <c r="B3" s="267" t="s">
        <v>135</v>
      </c>
      <c r="C3" s="268"/>
      <c r="D3" s="268"/>
      <c r="E3" s="268"/>
      <c r="F3" s="268"/>
      <c r="G3" s="268"/>
      <c r="H3" s="268"/>
      <c r="I3" s="269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3"/>
    </row>
    <row r="4" spans="1:22" ht="14.25">
      <c r="A4" s="311"/>
      <c r="B4" s="242" t="str">
        <f>'Financial Assessment'!B10</f>
        <v>Bill</v>
      </c>
      <c r="C4" s="80"/>
      <c r="D4" s="82"/>
      <c r="E4" s="242" t="str">
        <f>'Financial Assessment'!B15</f>
        <v>Jane</v>
      </c>
      <c r="F4" s="80"/>
      <c r="G4" s="80"/>
      <c r="H4" s="80"/>
      <c r="I4" s="82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242" t="str">
        <f>'Financial Assessment'!B15</f>
        <v>Jane</v>
      </c>
      <c r="V4" s="82"/>
    </row>
    <row r="5" spans="1:22" ht="9" customHeight="1">
      <c r="A5" s="311"/>
      <c r="B5" s="68"/>
      <c r="C5" s="69" t="s">
        <v>1</v>
      </c>
      <c r="D5" s="78" t="s">
        <v>1</v>
      </c>
      <c r="E5" s="68"/>
      <c r="F5" s="69"/>
      <c r="G5" s="69"/>
      <c r="H5" s="69"/>
      <c r="I5" s="78"/>
      <c r="K5" s="69"/>
      <c r="L5" s="69"/>
      <c r="M5" s="69"/>
      <c r="N5" s="69"/>
      <c r="O5" s="69"/>
      <c r="P5" s="69"/>
      <c r="Q5" s="69"/>
      <c r="R5" s="69"/>
      <c r="S5" s="69"/>
      <c r="T5" s="78"/>
      <c r="U5" s="68"/>
      <c r="V5" s="78"/>
    </row>
    <row r="6" spans="1:22" s="62" customFormat="1" ht="14.25">
      <c r="A6" s="312"/>
      <c r="B6" s="243">
        <v>15000</v>
      </c>
      <c r="C6" s="244">
        <v>50000</v>
      </c>
      <c r="D6" s="245">
        <f>SUM(B6:C6)</f>
        <v>65000</v>
      </c>
      <c r="E6" s="243">
        <v>10744.4</v>
      </c>
      <c r="F6" s="244">
        <v>33205.59</v>
      </c>
      <c r="G6" s="244">
        <v>33155.72</v>
      </c>
      <c r="H6" s="244">
        <f>MLIAs!V62</f>
        <v>2678.84</v>
      </c>
      <c r="I6" s="245">
        <f>SUM(E6:H6)</f>
        <v>79784.54999999999</v>
      </c>
      <c r="K6" s="244">
        <v>2253.93</v>
      </c>
      <c r="L6" s="244">
        <v>2161.1</v>
      </c>
      <c r="M6" s="244">
        <v>46783.93</v>
      </c>
      <c r="N6" s="244">
        <v>1969.01</v>
      </c>
      <c r="O6" s="244">
        <v>1880.16</v>
      </c>
      <c r="P6" s="244">
        <v>1784.77</v>
      </c>
      <c r="Q6" s="244">
        <v>1677.41</v>
      </c>
      <c r="R6" s="244">
        <v>66549.11</v>
      </c>
      <c r="S6" s="244">
        <v>0.33</v>
      </c>
      <c r="T6" s="245">
        <f>SUM(K6:S6)</f>
        <v>125059.75000000001</v>
      </c>
      <c r="U6" s="259">
        <v>0</v>
      </c>
      <c r="V6" s="245">
        <f>SUM(U6:U6)</f>
        <v>0</v>
      </c>
    </row>
    <row r="7" spans="1:22" s="118" customFormat="1" ht="14.25">
      <c r="A7" s="313"/>
      <c r="B7" s="246">
        <v>0.0411</v>
      </c>
      <c r="C7" s="247">
        <v>0.0378</v>
      </c>
      <c r="D7" s="248"/>
      <c r="E7" s="246">
        <v>0.0395</v>
      </c>
      <c r="F7" s="247">
        <v>0.045</v>
      </c>
      <c r="G7" s="247">
        <v>0.041</v>
      </c>
      <c r="H7" s="247">
        <v>0.048</v>
      </c>
      <c r="I7" s="248"/>
      <c r="K7" s="247">
        <v>0.0385</v>
      </c>
      <c r="L7" s="247">
        <v>0.0415</v>
      </c>
      <c r="M7" s="247">
        <v>0.045</v>
      </c>
      <c r="N7" s="247">
        <v>0.045</v>
      </c>
      <c r="O7" s="247">
        <v>0.0455</v>
      </c>
      <c r="P7" s="247">
        <v>0.04708</v>
      </c>
      <c r="Q7" s="247">
        <v>0.0495</v>
      </c>
      <c r="R7" s="247">
        <v>0.051</v>
      </c>
      <c r="S7" s="247">
        <f>'Financial Assessment'!B45</f>
        <v>0.03</v>
      </c>
      <c r="T7" s="248"/>
      <c r="U7" s="260">
        <v>0</v>
      </c>
      <c r="V7" s="248"/>
    </row>
    <row r="8" spans="1:22" ht="14.25">
      <c r="A8" s="311"/>
      <c r="B8" s="249" t="s">
        <v>200</v>
      </c>
      <c r="C8" s="263" t="s">
        <v>201</v>
      </c>
      <c r="D8" s="251"/>
      <c r="E8" s="364" t="s">
        <v>269</v>
      </c>
      <c r="F8" s="263" t="s">
        <v>275</v>
      </c>
      <c r="G8" s="263" t="s">
        <v>276</v>
      </c>
      <c r="H8" s="263" t="s">
        <v>202</v>
      </c>
      <c r="I8" s="251"/>
      <c r="K8" s="250" t="s">
        <v>204</v>
      </c>
      <c r="L8" s="250" t="s">
        <v>204</v>
      </c>
      <c r="M8" s="250" t="s">
        <v>204</v>
      </c>
      <c r="N8" s="250" t="s">
        <v>204</v>
      </c>
      <c r="O8" s="250" t="s">
        <v>204</v>
      </c>
      <c r="P8" s="250" t="s">
        <v>204</v>
      </c>
      <c r="Q8" s="250" t="s">
        <v>204</v>
      </c>
      <c r="R8" s="250" t="s">
        <v>204</v>
      </c>
      <c r="S8" s="250"/>
      <c r="T8" s="251"/>
      <c r="U8" s="262"/>
      <c r="V8" s="251"/>
    </row>
    <row r="9" spans="1:22" ht="14.25">
      <c r="A9" s="311"/>
      <c r="B9" s="252">
        <v>3</v>
      </c>
      <c r="C9" s="253">
        <v>3</v>
      </c>
      <c r="D9" s="254" t="s">
        <v>203</v>
      </c>
      <c r="E9" s="252">
        <v>2</v>
      </c>
      <c r="F9" s="253">
        <v>1</v>
      </c>
      <c r="G9" s="253">
        <v>4</v>
      </c>
      <c r="H9" s="253">
        <v>8</v>
      </c>
      <c r="I9" s="254" t="s">
        <v>203</v>
      </c>
      <c r="K9" s="253">
        <v>3</v>
      </c>
      <c r="L9" s="253">
        <v>4</v>
      </c>
      <c r="M9" s="253">
        <v>5</v>
      </c>
      <c r="N9" s="253">
        <v>6</v>
      </c>
      <c r="O9" s="253">
        <v>7</v>
      </c>
      <c r="P9" s="253">
        <v>8</v>
      </c>
      <c r="Q9" s="253">
        <v>9</v>
      </c>
      <c r="R9" s="253">
        <v>10</v>
      </c>
      <c r="S9" s="253"/>
      <c r="T9" s="254" t="s">
        <v>203</v>
      </c>
      <c r="U9" s="253">
        <v>0</v>
      </c>
      <c r="V9" s="254" t="s">
        <v>203</v>
      </c>
    </row>
    <row r="10" spans="1:22" ht="9" customHeight="1">
      <c r="A10" s="311"/>
      <c r="B10" s="68"/>
      <c r="C10" s="69"/>
      <c r="D10" s="78"/>
      <c r="E10" s="68"/>
      <c r="F10" s="69"/>
      <c r="G10" s="69"/>
      <c r="H10" s="69"/>
      <c r="I10" s="78"/>
      <c r="K10" s="69"/>
      <c r="L10" s="69"/>
      <c r="M10" s="69"/>
      <c r="N10" s="69"/>
      <c r="O10" s="69"/>
      <c r="P10" s="69"/>
      <c r="Q10" s="69"/>
      <c r="R10" s="69"/>
      <c r="S10" s="69"/>
      <c r="T10" s="78"/>
      <c r="U10" s="68"/>
      <c r="V10" s="78"/>
    </row>
    <row r="11" spans="1:22" ht="14.25">
      <c r="A11" s="311">
        <v>2007</v>
      </c>
      <c r="B11" s="255">
        <f>$B$6*$B$7</f>
        <v>616.5</v>
      </c>
      <c r="C11" s="70">
        <f>$C$6*$C$7</f>
        <v>1890</v>
      </c>
      <c r="D11" s="256">
        <f aca="true" t="shared" si="0" ref="D11:D45">SUM(B11:C11)/$D$6</f>
        <v>0.03856153846153846</v>
      </c>
      <c r="E11" s="255">
        <f>$E$6*$E$7</f>
        <v>424.4038</v>
      </c>
      <c r="F11" s="70">
        <f>$F$6*$F$7</f>
        <v>1494.2515499999997</v>
      </c>
      <c r="G11" s="70">
        <f>$G$6*$G$7</f>
        <v>1359.38452</v>
      </c>
      <c r="H11" s="70">
        <f aca="true" t="shared" si="1" ref="H11:H18">$H$6*$H$7</f>
        <v>128.58432000000002</v>
      </c>
      <c r="I11" s="256">
        <f aca="true" t="shared" si="2" ref="I11:I45">SUM(E11:H11)/$I$6</f>
        <v>0.04269779286841876</v>
      </c>
      <c r="K11" s="70">
        <f>$K$6*$K$7</f>
        <v>86.776305</v>
      </c>
      <c r="L11" s="70">
        <f>$L$6*$L$7</f>
        <v>89.68565</v>
      </c>
      <c r="M11" s="70">
        <f>$M$6*$M$7</f>
        <v>2105.2768499999997</v>
      </c>
      <c r="N11" s="70">
        <f>$N$6*$N$7</f>
        <v>88.60544999999999</v>
      </c>
      <c r="O11" s="70">
        <f>$O$6*$O$7</f>
        <v>85.54728</v>
      </c>
      <c r="P11" s="70">
        <f aca="true" t="shared" si="3" ref="P11:P16">$P$6*$P$7</f>
        <v>84.0269716</v>
      </c>
      <c r="Q11" s="70">
        <f aca="true" t="shared" si="4" ref="Q11:Q17">$Q$6*$Q$7</f>
        <v>83.031795</v>
      </c>
      <c r="R11" s="70">
        <f aca="true" t="shared" si="5" ref="R11:R18">$R$6*$R$7</f>
        <v>3394.00461</v>
      </c>
      <c r="S11" s="70">
        <f aca="true" t="shared" si="6" ref="S11:S45">$S$6*$S$7</f>
        <v>0.0099</v>
      </c>
      <c r="T11" s="256">
        <f aca="true" t="shared" si="7" ref="T11:T45">SUM(K11:S11)/$T$6</f>
        <v>0.04811272061234729</v>
      </c>
      <c r="U11" s="255">
        <f aca="true" t="shared" si="8" ref="U11:U45">$U$6*$U$7</f>
        <v>0</v>
      </c>
      <c r="V11" s="256">
        <f aca="true" t="shared" si="9" ref="V11:V45">SUM(U11:U11)/$I$6</f>
        <v>0</v>
      </c>
    </row>
    <row r="12" spans="1:22" ht="14.25">
      <c r="A12" s="311">
        <f aca="true" t="shared" si="10" ref="A12:A45">1+A11</f>
        <v>2008</v>
      </c>
      <c r="B12" s="255">
        <f>$B$6*$B$7</f>
        <v>616.5</v>
      </c>
      <c r="C12" s="70">
        <f>$C$6*$C$7</f>
        <v>1890</v>
      </c>
      <c r="D12" s="256">
        <f t="shared" si="0"/>
        <v>0.03856153846153846</v>
      </c>
      <c r="E12" s="255">
        <f>$E$6*$E$7</f>
        <v>424.4038</v>
      </c>
      <c r="F12" s="70">
        <f>$F$6*'Financial Assessment'!$B$45</f>
        <v>996.1676999999999</v>
      </c>
      <c r="G12" s="70">
        <f>$G$6*$G$7</f>
        <v>1359.38452</v>
      </c>
      <c r="H12" s="70">
        <f t="shared" si="1"/>
        <v>128.58432000000002</v>
      </c>
      <c r="I12" s="256">
        <f t="shared" si="2"/>
        <v>0.03645493193857708</v>
      </c>
      <c r="K12" s="70">
        <f>$K$6*'Financial Assessment'!$B$45</f>
        <v>67.61789999999999</v>
      </c>
      <c r="L12" s="70">
        <f>$L$6*$L$7</f>
        <v>89.68565</v>
      </c>
      <c r="M12" s="70">
        <f>$M$6*$M$7</f>
        <v>2105.2768499999997</v>
      </c>
      <c r="N12" s="70">
        <f>$N$6*$N$7</f>
        <v>88.60544999999999</v>
      </c>
      <c r="O12" s="70">
        <f>$O$6*$O$7</f>
        <v>85.54728</v>
      </c>
      <c r="P12" s="70">
        <f t="shared" si="3"/>
        <v>84.0269716</v>
      </c>
      <c r="Q12" s="70">
        <f t="shared" si="4"/>
        <v>83.031795</v>
      </c>
      <c r="R12" s="70">
        <f t="shared" si="5"/>
        <v>3394.00461</v>
      </c>
      <c r="S12" s="70">
        <f t="shared" si="6"/>
        <v>0.0099</v>
      </c>
      <c r="T12" s="256">
        <f t="shared" si="7"/>
        <v>0.04795952659908563</v>
      </c>
      <c r="U12" s="255">
        <f t="shared" si="8"/>
        <v>0</v>
      </c>
      <c r="V12" s="256">
        <f t="shared" si="9"/>
        <v>0</v>
      </c>
    </row>
    <row r="13" spans="1:22" ht="14.25">
      <c r="A13" s="311">
        <f t="shared" si="10"/>
        <v>2009</v>
      </c>
      <c r="B13" s="255">
        <f>$B$6*'Financial Assessment'!$B$45</f>
        <v>450</v>
      </c>
      <c r="C13" s="70">
        <f>$C$6*'Financial Assessment'!$B$45</f>
        <v>1500</v>
      </c>
      <c r="D13" s="256">
        <f t="shared" si="0"/>
        <v>0.03</v>
      </c>
      <c r="E13" s="255">
        <f>$E$6*'Financial Assessment'!$B$45</f>
        <v>322.332</v>
      </c>
      <c r="F13" s="70">
        <f>$F$6*'Financial Assessment'!$B$45</f>
        <v>996.1676999999999</v>
      </c>
      <c r="G13" s="70">
        <f>$G$6*$G$7</f>
        <v>1359.38452</v>
      </c>
      <c r="H13" s="70">
        <f t="shared" si="1"/>
        <v>128.58432000000002</v>
      </c>
      <c r="I13" s="256">
        <f t="shared" si="2"/>
        <v>0.03517558900814757</v>
      </c>
      <c r="K13" s="70">
        <f>$K$6*'Financial Assessment'!$B$45</f>
        <v>67.61789999999999</v>
      </c>
      <c r="L13" s="70">
        <f>$L$6*'Financial Assessment'!$B$45</f>
        <v>64.833</v>
      </c>
      <c r="M13" s="70">
        <f>$M$6*$M$7</f>
        <v>2105.2768499999997</v>
      </c>
      <c r="N13" s="70">
        <f>$N$6*$N$7</f>
        <v>88.60544999999999</v>
      </c>
      <c r="O13" s="70">
        <f>$O$6*$O$7</f>
        <v>85.54728</v>
      </c>
      <c r="P13" s="70">
        <f t="shared" si="3"/>
        <v>84.0269716</v>
      </c>
      <c r="Q13" s="70">
        <f t="shared" si="4"/>
        <v>83.031795</v>
      </c>
      <c r="R13" s="70">
        <f t="shared" si="5"/>
        <v>3394.00461</v>
      </c>
      <c r="S13" s="70">
        <f t="shared" si="6"/>
        <v>0.0099</v>
      </c>
      <c r="T13" s="256">
        <f t="shared" si="7"/>
        <v>0.047760800390213465</v>
      </c>
      <c r="U13" s="255">
        <f t="shared" si="8"/>
        <v>0</v>
      </c>
      <c r="V13" s="256">
        <f t="shared" si="9"/>
        <v>0</v>
      </c>
    </row>
    <row r="14" spans="1:22" ht="14.25">
      <c r="A14" s="311">
        <f t="shared" si="10"/>
        <v>2010</v>
      </c>
      <c r="B14" s="255">
        <f>$B$6*'Financial Assessment'!$B$45</f>
        <v>450</v>
      </c>
      <c r="C14" s="70">
        <f>$C$6*'Financial Assessment'!$B$45</f>
        <v>1500</v>
      </c>
      <c r="D14" s="256">
        <f t="shared" si="0"/>
        <v>0.03</v>
      </c>
      <c r="E14" s="255">
        <f>$E$6*'Financial Assessment'!$B$45</f>
        <v>322.332</v>
      </c>
      <c r="F14" s="70">
        <f>$F$6*'Financial Assessment'!$B$45</f>
        <v>996.1676999999999</v>
      </c>
      <c r="G14" s="70">
        <f>$G$6*$G$7</f>
        <v>1359.38452</v>
      </c>
      <c r="H14" s="70">
        <f t="shared" si="1"/>
        <v>128.58432000000002</v>
      </c>
      <c r="I14" s="256">
        <f t="shared" si="2"/>
        <v>0.03517558900814757</v>
      </c>
      <c r="K14" s="70">
        <f>$K$6*'Financial Assessment'!$B$45</f>
        <v>67.61789999999999</v>
      </c>
      <c r="L14" s="70">
        <f>$L$6*'Financial Assessment'!$B$45</f>
        <v>64.833</v>
      </c>
      <c r="M14" s="70">
        <f>$M$6*'Financial Assessment'!$B$45</f>
        <v>1403.5179</v>
      </c>
      <c r="N14" s="70">
        <f>$N$6*$N$7</f>
        <v>88.60544999999999</v>
      </c>
      <c r="O14" s="70">
        <f>$O$6*$O$7</f>
        <v>85.54728</v>
      </c>
      <c r="P14" s="70">
        <f t="shared" si="3"/>
        <v>84.0269716</v>
      </c>
      <c r="Q14" s="70">
        <f t="shared" si="4"/>
        <v>83.031795</v>
      </c>
      <c r="R14" s="70">
        <f t="shared" si="5"/>
        <v>3394.00461</v>
      </c>
      <c r="S14" s="70">
        <f t="shared" si="6"/>
        <v>0.0099</v>
      </c>
      <c r="T14" s="256">
        <f t="shared" si="7"/>
        <v>0.04214941103432559</v>
      </c>
      <c r="U14" s="255">
        <f t="shared" si="8"/>
        <v>0</v>
      </c>
      <c r="V14" s="256">
        <f t="shared" si="9"/>
        <v>0</v>
      </c>
    </row>
    <row r="15" spans="1:22" ht="14.25">
      <c r="A15" s="311">
        <f t="shared" si="10"/>
        <v>2011</v>
      </c>
      <c r="B15" s="255">
        <f>$B$6*'Financial Assessment'!$B$45</f>
        <v>450</v>
      </c>
      <c r="C15" s="70">
        <f>$C$6*'Financial Assessment'!$B$45</f>
        <v>1500</v>
      </c>
      <c r="D15" s="256">
        <f t="shared" si="0"/>
        <v>0.03</v>
      </c>
      <c r="E15" s="255">
        <f>$E$6*'Financial Assessment'!$B$45</f>
        <v>322.332</v>
      </c>
      <c r="F15" s="70">
        <f>$F$6*'Financial Assessment'!$B$45</f>
        <v>996.1676999999999</v>
      </c>
      <c r="G15" s="70">
        <f>$G$6*'Financial Assessment'!$B$45</f>
        <v>994.6716</v>
      </c>
      <c r="H15" s="70">
        <f t="shared" si="1"/>
        <v>128.58432000000002</v>
      </c>
      <c r="I15" s="256">
        <f t="shared" si="2"/>
        <v>0.0306043666348936</v>
      </c>
      <c r="K15" s="70">
        <f>$K$6*'Financial Assessment'!$B$45</f>
        <v>67.61789999999999</v>
      </c>
      <c r="L15" s="70">
        <f>$L$6*'Financial Assessment'!$B$45</f>
        <v>64.833</v>
      </c>
      <c r="M15" s="70">
        <f>$M$6*'Financial Assessment'!$B$45</f>
        <v>1403.5179</v>
      </c>
      <c r="N15" s="70">
        <f>$N$6*'Financial Assessment'!$B$45</f>
        <v>59.070299999999996</v>
      </c>
      <c r="O15" s="70">
        <f>$O$6*$O$7</f>
        <v>85.54728</v>
      </c>
      <c r="P15" s="70">
        <f t="shared" si="3"/>
        <v>84.0269716</v>
      </c>
      <c r="Q15" s="70">
        <f t="shared" si="4"/>
        <v>83.031795</v>
      </c>
      <c r="R15" s="70">
        <f t="shared" si="5"/>
        <v>3394.00461</v>
      </c>
      <c r="S15" s="70">
        <f t="shared" si="6"/>
        <v>0.0099</v>
      </c>
      <c r="T15" s="256">
        <f t="shared" si="7"/>
        <v>0.04191324272277851</v>
      </c>
      <c r="U15" s="255">
        <f t="shared" si="8"/>
        <v>0</v>
      </c>
      <c r="V15" s="256">
        <f t="shared" si="9"/>
        <v>0</v>
      </c>
    </row>
    <row r="16" spans="1:22" ht="14.25">
      <c r="A16" s="311">
        <f t="shared" si="10"/>
        <v>2012</v>
      </c>
      <c r="B16" s="255">
        <f>$B$6*'Financial Assessment'!$B$45</f>
        <v>450</v>
      </c>
      <c r="C16" s="70">
        <f>$C$6*'Financial Assessment'!$B$45</f>
        <v>1500</v>
      </c>
      <c r="D16" s="256">
        <f t="shared" si="0"/>
        <v>0.03</v>
      </c>
      <c r="E16" s="255">
        <f>$E$6*'Financial Assessment'!$B$45</f>
        <v>322.332</v>
      </c>
      <c r="F16" s="70">
        <f>$F$6*'Financial Assessment'!$B$45</f>
        <v>996.1676999999999</v>
      </c>
      <c r="G16" s="70">
        <f>$G$6*'Financial Assessment'!$B$45</f>
        <v>994.6716</v>
      </c>
      <c r="H16" s="70">
        <f t="shared" si="1"/>
        <v>128.58432000000002</v>
      </c>
      <c r="I16" s="256">
        <f t="shared" si="2"/>
        <v>0.0306043666348936</v>
      </c>
      <c r="K16" s="70">
        <f>$K$6*'Financial Assessment'!$B$45</f>
        <v>67.61789999999999</v>
      </c>
      <c r="L16" s="70">
        <f>$L$6*'Financial Assessment'!$B$45</f>
        <v>64.833</v>
      </c>
      <c r="M16" s="70">
        <f>$M$6*'Financial Assessment'!$B$45</f>
        <v>1403.5179</v>
      </c>
      <c r="N16" s="70">
        <f>$N$6*'Financial Assessment'!$B$45</f>
        <v>59.070299999999996</v>
      </c>
      <c r="O16" s="70">
        <f>$O$6*'Financial Assessment'!$B$45</f>
        <v>56.4048</v>
      </c>
      <c r="P16" s="70">
        <f t="shared" si="3"/>
        <v>84.0269716</v>
      </c>
      <c r="Q16" s="70">
        <f t="shared" si="4"/>
        <v>83.031795</v>
      </c>
      <c r="R16" s="70">
        <f t="shared" si="5"/>
        <v>3394.00461</v>
      </c>
      <c r="S16" s="70">
        <f t="shared" si="6"/>
        <v>0.0099</v>
      </c>
      <c r="T16" s="256">
        <f t="shared" si="7"/>
        <v>0.041680214270378754</v>
      </c>
      <c r="U16" s="255">
        <f t="shared" si="8"/>
        <v>0</v>
      </c>
      <c r="V16" s="256">
        <f t="shared" si="9"/>
        <v>0</v>
      </c>
    </row>
    <row r="17" spans="1:22" ht="14.25">
      <c r="A17" s="311">
        <f t="shared" si="10"/>
        <v>2013</v>
      </c>
      <c r="B17" s="255">
        <f>$B$6*'Financial Assessment'!$B$45</f>
        <v>450</v>
      </c>
      <c r="C17" s="70">
        <f>$C$6*'Financial Assessment'!$B$45</f>
        <v>1500</v>
      </c>
      <c r="D17" s="256">
        <f t="shared" si="0"/>
        <v>0.03</v>
      </c>
      <c r="E17" s="255">
        <f>$E$6*'Financial Assessment'!$B$45</f>
        <v>322.332</v>
      </c>
      <c r="F17" s="70">
        <f>$F$6*'Financial Assessment'!$B$45</f>
        <v>996.1676999999999</v>
      </c>
      <c r="G17" s="70">
        <f>$G$6*'Financial Assessment'!$B$45</f>
        <v>994.6716</v>
      </c>
      <c r="H17" s="70">
        <f t="shared" si="1"/>
        <v>128.58432000000002</v>
      </c>
      <c r="I17" s="256">
        <f t="shared" si="2"/>
        <v>0.0306043666348936</v>
      </c>
      <c r="K17" s="70">
        <f>$K$6*'Financial Assessment'!$B$45</f>
        <v>67.61789999999999</v>
      </c>
      <c r="L17" s="70">
        <f>$L$6*'Financial Assessment'!$B$45</f>
        <v>64.833</v>
      </c>
      <c r="M17" s="70">
        <f>$M$6*'Financial Assessment'!$B$45</f>
        <v>1403.5179</v>
      </c>
      <c r="N17" s="70">
        <f>$N$6*'Financial Assessment'!$B$45</f>
        <v>59.070299999999996</v>
      </c>
      <c r="O17" s="70">
        <f>$O$6*'Financial Assessment'!$B$45</f>
        <v>56.4048</v>
      </c>
      <c r="P17" s="70">
        <f>$P$6*'Financial Assessment'!$B$45</f>
        <v>53.543099999999995</v>
      </c>
      <c r="Q17" s="70">
        <f t="shared" si="4"/>
        <v>83.031795</v>
      </c>
      <c r="R17" s="70">
        <f t="shared" si="5"/>
        <v>3394.00461</v>
      </c>
      <c r="S17" s="70">
        <f t="shared" si="6"/>
        <v>0.0099</v>
      </c>
      <c r="T17" s="256">
        <f t="shared" si="7"/>
        <v>0.04143645981220976</v>
      </c>
      <c r="U17" s="255">
        <f t="shared" si="8"/>
        <v>0</v>
      </c>
      <c r="V17" s="256">
        <f t="shared" si="9"/>
        <v>0</v>
      </c>
    </row>
    <row r="18" spans="1:22" ht="14.25">
      <c r="A18" s="311">
        <f t="shared" si="10"/>
        <v>2014</v>
      </c>
      <c r="B18" s="255">
        <f>$B$6*'Financial Assessment'!$B$45</f>
        <v>450</v>
      </c>
      <c r="C18" s="70">
        <f>$C$6*'Financial Assessment'!$B$45</f>
        <v>1500</v>
      </c>
      <c r="D18" s="256">
        <f t="shared" si="0"/>
        <v>0.03</v>
      </c>
      <c r="E18" s="255">
        <f>$E$6*'Financial Assessment'!$B$45</f>
        <v>322.332</v>
      </c>
      <c r="F18" s="70">
        <f>$F$6*'Financial Assessment'!$B$45</f>
        <v>996.1676999999999</v>
      </c>
      <c r="G18" s="70">
        <f>$G$6*'Financial Assessment'!$B$45</f>
        <v>994.6716</v>
      </c>
      <c r="H18" s="70">
        <f t="shared" si="1"/>
        <v>128.58432000000002</v>
      </c>
      <c r="I18" s="256">
        <f t="shared" si="2"/>
        <v>0.0306043666348936</v>
      </c>
      <c r="K18" s="70">
        <f>$K$6*'Financial Assessment'!$B$45</f>
        <v>67.61789999999999</v>
      </c>
      <c r="L18" s="70">
        <f>$L$6*'Financial Assessment'!$B$45</f>
        <v>64.833</v>
      </c>
      <c r="M18" s="70">
        <f>$M$6*'Financial Assessment'!$B$45</f>
        <v>1403.5179</v>
      </c>
      <c r="N18" s="70">
        <f>$N$6*'Financial Assessment'!$B$45</f>
        <v>59.070299999999996</v>
      </c>
      <c r="O18" s="70">
        <f>$O$6*'Financial Assessment'!$B$45</f>
        <v>56.4048</v>
      </c>
      <c r="P18" s="70">
        <f>$P$6*'Financial Assessment'!$B$45</f>
        <v>53.543099999999995</v>
      </c>
      <c r="Q18" s="70">
        <f>$Q$6*'Financial Assessment'!$B$45</f>
        <v>50.3223</v>
      </c>
      <c r="R18" s="70">
        <f t="shared" si="5"/>
        <v>3394.00461</v>
      </c>
      <c r="S18" s="70">
        <f t="shared" si="6"/>
        <v>0.0099</v>
      </c>
      <c r="T18" s="256">
        <f t="shared" si="7"/>
        <v>0.04117490887355844</v>
      </c>
      <c r="U18" s="255">
        <f t="shared" si="8"/>
        <v>0</v>
      </c>
      <c r="V18" s="256">
        <f t="shared" si="9"/>
        <v>0</v>
      </c>
    </row>
    <row r="19" spans="1:22" ht="14.25">
      <c r="A19" s="311">
        <f t="shared" si="10"/>
        <v>2015</v>
      </c>
      <c r="B19" s="255">
        <f>$B$6*'Financial Assessment'!$B$45</f>
        <v>450</v>
      </c>
      <c r="C19" s="70">
        <f>$C$6*'Financial Assessment'!$B$45</f>
        <v>1500</v>
      </c>
      <c r="D19" s="256">
        <f t="shared" si="0"/>
        <v>0.03</v>
      </c>
      <c r="E19" s="255">
        <f>$E$6*'Financial Assessment'!$B$45</f>
        <v>322.332</v>
      </c>
      <c r="F19" s="70">
        <f>$F$6*'Financial Assessment'!$B$45</f>
        <v>996.1676999999999</v>
      </c>
      <c r="G19" s="70">
        <f>$G$6*'Financial Assessment'!$B$45</f>
        <v>994.6716</v>
      </c>
      <c r="H19" s="70">
        <f>$H$6*'Financial Assessment'!$B$45</f>
        <v>80.3652</v>
      </c>
      <c r="I19" s="256">
        <f t="shared" si="2"/>
        <v>0.030000000000000006</v>
      </c>
      <c r="K19" s="70">
        <f>$K$6*'Financial Assessment'!$B$45</f>
        <v>67.61789999999999</v>
      </c>
      <c r="L19" s="70">
        <f>$L$6*'Financial Assessment'!$B$45</f>
        <v>64.833</v>
      </c>
      <c r="M19" s="70">
        <f>$M$6*'Financial Assessment'!$B$45</f>
        <v>1403.5179</v>
      </c>
      <c r="N19" s="70">
        <f>$N$6*'Financial Assessment'!$B$45</f>
        <v>59.070299999999996</v>
      </c>
      <c r="O19" s="70">
        <f>$O$6*'Financial Assessment'!$B$45</f>
        <v>56.4048</v>
      </c>
      <c r="P19" s="70">
        <f>$P$6*'Financial Assessment'!$B$45</f>
        <v>53.543099999999995</v>
      </c>
      <c r="Q19" s="70">
        <f>$Q$6*'Financial Assessment'!$B$45</f>
        <v>50.3223</v>
      </c>
      <c r="R19" s="70">
        <f>$R$6*'Financial Assessment'!$B$45</f>
        <v>1996.4732999999999</v>
      </c>
      <c r="S19" s="70">
        <f t="shared" si="6"/>
        <v>0.0099</v>
      </c>
      <c r="T19" s="256">
        <f t="shared" si="7"/>
        <v>0.03</v>
      </c>
      <c r="U19" s="255">
        <f t="shared" si="8"/>
        <v>0</v>
      </c>
      <c r="V19" s="256">
        <f t="shared" si="9"/>
        <v>0</v>
      </c>
    </row>
    <row r="20" spans="1:22" ht="14.25">
      <c r="A20" s="311">
        <f t="shared" si="10"/>
        <v>2016</v>
      </c>
      <c r="B20" s="255">
        <f>$B$6*'Financial Assessment'!$B$45</f>
        <v>450</v>
      </c>
      <c r="C20" s="70">
        <f>$C$6*'Financial Assessment'!$B$45</f>
        <v>1500</v>
      </c>
      <c r="D20" s="256">
        <f t="shared" si="0"/>
        <v>0.03</v>
      </c>
      <c r="E20" s="255">
        <f>$E$6*'Financial Assessment'!$B$45</f>
        <v>322.332</v>
      </c>
      <c r="F20" s="70">
        <f>$F$6*'Financial Assessment'!$B$45</f>
        <v>996.1676999999999</v>
      </c>
      <c r="G20" s="70">
        <f>$G$6*'Financial Assessment'!$B$45</f>
        <v>994.6716</v>
      </c>
      <c r="H20" s="70">
        <f>$H$6*'Financial Assessment'!$B$45</f>
        <v>80.3652</v>
      </c>
      <c r="I20" s="256">
        <f t="shared" si="2"/>
        <v>0.030000000000000006</v>
      </c>
      <c r="K20" s="70">
        <f>$K$6*'Financial Assessment'!$B$45</f>
        <v>67.61789999999999</v>
      </c>
      <c r="L20" s="70">
        <f>$L$6*'Financial Assessment'!$B$45</f>
        <v>64.833</v>
      </c>
      <c r="M20" s="70">
        <f>$M$6*'Financial Assessment'!$B$45</f>
        <v>1403.5179</v>
      </c>
      <c r="N20" s="70">
        <f>$N$6*'Financial Assessment'!$B$45</f>
        <v>59.070299999999996</v>
      </c>
      <c r="O20" s="70">
        <f>$O$6*'Financial Assessment'!$B$45</f>
        <v>56.4048</v>
      </c>
      <c r="P20" s="70">
        <f>$P$6*'Financial Assessment'!$B$45</f>
        <v>53.543099999999995</v>
      </c>
      <c r="Q20" s="70">
        <f>$Q$6*'Financial Assessment'!$B$45</f>
        <v>50.3223</v>
      </c>
      <c r="R20" s="70">
        <f>$R$6*'Financial Assessment'!$B$45</f>
        <v>1996.4732999999999</v>
      </c>
      <c r="S20" s="70">
        <f t="shared" si="6"/>
        <v>0.0099</v>
      </c>
      <c r="T20" s="256">
        <f t="shared" si="7"/>
        <v>0.03</v>
      </c>
      <c r="U20" s="255">
        <f t="shared" si="8"/>
        <v>0</v>
      </c>
      <c r="V20" s="256">
        <f t="shared" si="9"/>
        <v>0</v>
      </c>
    </row>
    <row r="21" spans="1:22" ht="14.25">
      <c r="A21" s="311">
        <f t="shared" si="10"/>
        <v>2017</v>
      </c>
      <c r="B21" s="255">
        <f>$B$6*'Financial Assessment'!$B$45</f>
        <v>450</v>
      </c>
      <c r="C21" s="70">
        <f>$C$6*'Financial Assessment'!$B$45</f>
        <v>1500</v>
      </c>
      <c r="D21" s="256">
        <f t="shared" si="0"/>
        <v>0.03</v>
      </c>
      <c r="E21" s="255">
        <f>$E$6*'Financial Assessment'!$B$45</f>
        <v>322.332</v>
      </c>
      <c r="F21" s="70">
        <f>$F$6*'Financial Assessment'!$B$45</f>
        <v>996.1676999999999</v>
      </c>
      <c r="G21" s="70">
        <f>$G$6*'Financial Assessment'!$B$45</f>
        <v>994.6716</v>
      </c>
      <c r="H21" s="70">
        <f>$H$6*'Financial Assessment'!$B$45</f>
        <v>80.3652</v>
      </c>
      <c r="I21" s="256">
        <f t="shared" si="2"/>
        <v>0.030000000000000006</v>
      </c>
      <c r="K21" s="70">
        <f>$K$6*'Financial Assessment'!$B$45</f>
        <v>67.61789999999999</v>
      </c>
      <c r="L21" s="70">
        <f>$L$6*'Financial Assessment'!$B$45</f>
        <v>64.833</v>
      </c>
      <c r="M21" s="70">
        <f>$M$6*'Financial Assessment'!$B$45</f>
        <v>1403.5179</v>
      </c>
      <c r="N21" s="70">
        <f>$N$6*'Financial Assessment'!$B$45</f>
        <v>59.070299999999996</v>
      </c>
      <c r="O21" s="70">
        <f>$O$6*'Financial Assessment'!$B$45</f>
        <v>56.4048</v>
      </c>
      <c r="P21" s="70">
        <f>$P$6*'Financial Assessment'!$B$45</f>
        <v>53.543099999999995</v>
      </c>
      <c r="Q21" s="70">
        <f>$Q$6*'Financial Assessment'!$B$45</f>
        <v>50.3223</v>
      </c>
      <c r="R21" s="70">
        <f>$R$6*'Financial Assessment'!$B$45</f>
        <v>1996.4732999999999</v>
      </c>
      <c r="S21" s="70">
        <f t="shared" si="6"/>
        <v>0.0099</v>
      </c>
      <c r="T21" s="256">
        <f t="shared" si="7"/>
        <v>0.03</v>
      </c>
      <c r="U21" s="255">
        <f t="shared" si="8"/>
        <v>0</v>
      </c>
      <c r="V21" s="256">
        <f t="shared" si="9"/>
        <v>0</v>
      </c>
    </row>
    <row r="22" spans="1:22" ht="14.25">
      <c r="A22" s="311">
        <f t="shared" si="10"/>
        <v>2018</v>
      </c>
      <c r="B22" s="255">
        <f>$B$6*'Financial Assessment'!$B$45</f>
        <v>450</v>
      </c>
      <c r="C22" s="70">
        <f>$C$6*'Financial Assessment'!$B$45</f>
        <v>1500</v>
      </c>
      <c r="D22" s="256">
        <f t="shared" si="0"/>
        <v>0.03</v>
      </c>
      <c r="E22" s="255">
        <f>$E$6*'Financial Assessment'!$B$45</f>
        <v>322.332</v>
      </c>
      <c r="F22" s="70">
        <f>$F$6*'Financial Assessment'!$B$45</f>
        <v>996.1676999999999</v>
      </c>
      <c r="G22" s="70">
        <f>$G$6*'Financial Assessment'!$B$45</f>
        <v>994.6716</v>
      </c>
      <c r="H22" s="70">
        <f>$H$6*'Financial Assessment'!$B$45</f>
        <v>80.3652</v>
      </c>
      <c r="I22" s="256">
        <f t="shared" si="2"/>
        <v>0.030000000000000006</v>
      </c>
      <c r="K22" s="70">
        <f>$K$6*'Financial Assessment'!$B$45</f>
        <v>67.61789999999999</v>
      </c>
      <c r="L22" s="70">
        <f>$L$6*'Financial Assessment'!$B$45</f>
        <v>64.833</v>
      </c>
      <c r="M22" s="70">
        <f>$M$6*'Financial Assessment'!$B$45</f>
        <v>1403.5179</v>
      </c>
      <c r="N22" s="70">
        <f>$N$6*'Financial Assessment'!$B$45</f>
        <v>59.070299999999996</v>
      </c>
      <c r="O22" s="70">
        <f>$O$6*'Financial Assessment'!$B$45</f>
        <v>56.4048</v>
      </c>
      <c r="P22" s="70">
        <f>$P$6*'Financial Assessment'!$B$45</f>
        <v>53.543099999999995</v>
      </c>
      <c r="Q22" s="70">
        <f>$Q$6*'Financial Assessment'!$B$45</f>
        <v>50.3223</v>
      </c>
      <c r="R22" s="70">
        <f>$R$6*'Financial Assessment'!$B$45</f>
        <v>1996.4732999999999</v>
      </c>
      <c r="S22" s="70">
        <f t="shared" si="6"/>
        <v>0.0099</v>
      </c>
      <c r="T22" s="256">
        <f t="shared" si="7"/>
        <v>0.03</v>
      </c>
      <c r="U22" s="255">
        <f t="shared" si="8"/>
        <v>0</v>
      </c>
      <c r="V22" s="256">
        <f t="shared" si="9"/>
        <v>0</v>
      </c>
    </row>
    <row r="23" spans="1:22" ht="14.25">
      <c r="A23" s="311">
        <f t="shared" si="10"/>
        <v>2019</v>
      </c>
      <c r="B23" s="255">
        <f>$B$6*'Financial Assessment'!$B$45</f>
        <v>450</v>
      </c>
      <c r="C23" s="70">
        <f>$C$6*'Financial Assessment'!$B$45</f>
        <v>1500</v>
      </c>
      <c r="D23" s="256">
        <f t="shared" si="0"/>
        <v>0.03</v>
      </c>
      <c r="E23" s="255">
        <f>$E$6*'Financial Assessment'!$B$45</f>
        <v>322.332</v>
      </c>
      <c r="F23" s="70">
        <f>$F$6*'Financial Assessment'!$B$45</f>
        <v>996.1676999999999</v>
      </c>
      <c r="G23" s="70">
        <f>$G$6*'Financial Assessment'!$B$45</f>
        <v>994.6716</v>
      </c>
      <c r="H23" s="70">
        <f>$H$6*'Financial Assessment'!$B$45</f>
        <v>80.3652</v>
      </c>
      <c r="I23" s="256">
        <f t="shared" si="2"/>
        <v>0.030000000000000006</v>
      </c>
      <c r="K23" s="70">
        <f>$K$6*'Financial Assessment'!$B$45</f>
        <v>67.61789999999999</v>
      </c>
      <c r="L23" s="70">
        <f>$L$6*'Financial Assessment'!$B$45</f>
        <v>64.833</v>
      </c>
      <c r="M23" s="70">
        <f>$M$6*'Financial Assessment'!$B$45</f>
        <v>1403.5179</v>
      </c>
      <c r="N23" s="70">
        <f>$N$6*'Financial Assessment'!$B$45</f>
        <v>59.070299999999996</v>
      </c>
      <c r="O23" s="70">
        <f>$O$6*'Financial Assessment'!$B$45</f>
        <v>56.4048</v>
      </c>
      <c r="P23" s="70">
        <f>$P$6*'Financial Assessment'!$B$45</f>
        <v>53.543099999999995</v>
      </c>
      <c r="Q23" s="70">
        <f>$Q$6*'Financial Assessment'!$B$45</f>
        <v>50.3223</v>
      </c>
      <c r="R23" s="70">
        <f>$R$6*'Financial Assessment'!$B$45</f>
        <v>1996.4732999999999</v>
      </c>
      <c r="S23" s="70">
        <f t="shared" si="6"/>
        <v>0.0099</v>
      </c>
      <c r="T23" s="256">
        <f t="shared" si="7"/>
        <v>0.03</v>
      </c>
      <c r="U23" s="255">
        <f t="shared" si="8"/>
        <v>0</v>
      </c>
      <c r="V23" s="256">
        <f t="shared" si="9"/>
        <v>0</v>
      </c>
    </row>
    <row r="24" spans="1:22" ht="14.25">
      <c r="A24" s="311">
        <f t="shared" si="10"/>
        <v>2020</v>
      </c>
      <c r="B24" s="255">
        <f>$B$6*'Financial Assessment'!$B$45</f>
        <v>450</v>
      </c>
      <c r="C24" s="70">
        <f>$C$6*'Financial Assessment'!$B$45</f>
        <v>1500</v>
      </c>
      <c r="D24" s="256">
        <f t="shared" si="0"/>
        <v>0.03</v>
      </c>
      <c r="E24" s="255">
        <f>$E$6*'Financial Assessment'!$B$45</f>
        <v>322.332</v>
      </c>
      <c r="F24" s="70">
        <f>$F$6*'Financial Assessment'!$B$45</f>
        <v>996.1676999999999</v>
      </c>
      <c r="G24" s="70">
        <f>$G$6*'Financial Assessment'!$B$45</f>
        <v>994.6716</v>
      </c>
      <c r="H24" s="70">
        <f>$H$6*'Financial Assessment'!$B$45</f>
        <v>80.3652</v>
      </c>
      <c r="I24" s="256">
        <f t="shared" si="2"/>
        <v>0.030000000000000006</v>
      </c>
      <c r="K24" s="70">
        <f>$K$6*'Financial Assessment'!$B$45</f>
        <v>67.61789999999999</v>
      </c>
      <c r="L24" s="70">
        <f>$L$6*'Financial Assessment'!$B$45</f>
        <v>64.833</v>
      </c>
      <c r="M24" s="70">
        <f>$M$6*'Financial Assessment'!$B$45</f>
        <v>1403.5179</v>
      </c>
      <c r="N24" s="70">
        <f>$N$6*'Financial Assessment'!$B$45</f>
        <v>59.070299999999996</v>
      </c>
      <c r="O24" s="70">
        <f>$O$6*'Financial Assessment'!$B$45</f>
        <v>56.4048</v>
      </c>
      <c r="P24" s="70">
        <f>$P$6*'Financial Assessment'!$B$45</f>
        <v>53.543099999999995</v>
      </c>
      <c r="Q24" s="70">
        <f>$Q$6*'Financial Assessment'!$B$45</f>
        <v>50.3223</v>
      </c>
      <c r="R24" s="70">
        <f>$R$6*'Financial Assessment'!$B$45</f>
        <v>1996.4732999999999</v>
      </c>
      <c r="S24" s="70">
        <f t="shared" si="6"/>
        <v>0.0099</v>
      </c>
      <c r="T24" s="256">
        <f t="shared" si="7"/>
        <v>0.03</v>
      </c>
      <c r="U24" s="255">
        <f t="shared" si="8"/>
        <v>0</v>
      </c>
      <c r="V24" s="256">
        <f t="shared" si="9"/>
        <v>0</v>
      </c>
    </row>
    <row r="25" spans="1:22" ht="14.25">
      <c r="A25" s="311">
        <f t="shared" si="10"/>
        <v>2021</v>
      </c>
      <c r="B25" s="255">
        <f>$B$6*'Financial Assessment'!$B$45</f>
        <v>450</v>
      </c>
      <c r="C25" s="70">
        <f>$C$6*'Financial Assessment'!$B$45</f>
        <v>1500</v>
      </c>
      <c r="D25" s="256">
        <f t="shared" si="0"/>
        <v>0.03</v>
      </c>
      <c r="E25" s="255">
        <f>$E$6*'Financial Assessment'!$B$45</f>
        <v>322.332</v>
      </c>
      <c r="F25" s="70">
        <f>$F$6*'Financial Assessment'!$B$45</f>
        <v>996.1676999999999</v>
      </c>
      <c r="G25" s="70">
        <f>$G$6*'Financial Assessment'!$B$45</f>
        <v>994.6716</v>
      </c>
      <c r="H25" s="70">
        <f>$H$6*'Financial Assessment'!$B$45</f>
        <v>80.3652</v>
      </c>
      <c r="I25" s="256">
        <f t="shared" si="2"/>
        <v>0.030000000000000006</v>
      </c>
      <c r="K25" s="70">
        <f>$K$6*'Financial Assessment'!$B$45</f>
        <v>67.61789999999999</v>
      </c>
      <c r="L25" s="70">
        <f>$L$6*'Financial Assessment'!$B$45</f>
        <v>64.833</v>
      </c>
      <c r="M25" s="70">
        <f>$M$6*'Financial Assessment'!$B$45</f>
        <v>1403.5179</v>
      </c>
      <c r="N25" s="70">
        <f>$N$6*'Financial Assessment'!$B$45</f>
        <v>59.070299999999996</v>
      </c>
      <c r="O25" s="70">
        <f>$O$6*'Financial Assessment'!$B$45</f>
        <v>56.4048</v>
      </c>
      <c r="P25" s="70">
        <f>$P$6*'Financial Assessment'!$B$45</f>
        <v>53.543099999999995</v>
      </c>
      <c r="Q25" s="70">
        <f>$Q$6*'Financial Assessment'!$B$45</f>
        <v>50.3223</v>
      </c>
      <c r="R25" s="70">
        <f>$R$6*'Financial Assessment'!$B$45</f>
        <v>1996.4732999999999</v>
      </c>
      <c r="S25" s="70">
        <f t="shared" si="6"/>
        <v>0.0099</v>
      </c>
      <c r="T25" s="256">
        <f t="shared" si="7"/>
        <v>0.03</v>
      </c>
      <c r="U25" s="255">
        <f t="shared" si="8"/>
        <v>0</v>
      </c>
      <c r="V25" s="256">
        <f t="shared" si="9"/>
        <v>0</v>
      </c>
    </row>
    <row r="26" spans="1:22" ht="14.25">
      <c r="A26" s="311">
        <f t="shared" si="10"/>
        <v>2022</v>
      </c>
      <c r="B26" s="255">
        <f>$B$6*'Financial Assessment'!$B$45</f>
        <v>450</v>
      </c>
      <c r="C26" s="70">
        <f>$C$6*'Financial Assessment'!$B$45</f>
        <v>1500</v>
      </c>
      <c r="D26" s="256">
        <f t="shared" si="0"/>
        <v>0.03</v>
      </c>
      <c r="E26" s="255">
        <f>$E$6*'Financial Assessment'!$B$45</f>
        <v>322.332</v>
      </c>
      <c r="F26" s="70">
        <f>$F$6*'Financial Assessment'!$B$45</f>
        <v>996.1676999999999</v>
      </c>
      <c r="G26" s="70">
        <f>$G$6*'Financial Assessment'!$B$45</f>
        <v>994.6716</v>
      </c>
      <c r="H26" s="70">
        <f>$H$6*'Financial Assessment'!$B$45</f>
        <v>80.3652</v>
      </c>
      <c r="I26" s="256">
        <f t="shared" si="2"/>
        <v>0.030000000000000006</v>
      </c>
      <c r="K26" s="70">
        <f>$K$6*'Financial Assessment'!$B$45</f>
        <v>67.61789999999999</v>
      </c>
      <c r="L26" s="70">
        <f>$L$6*'Financial Assessment'!$B$45</f>
        <v>64.833</v>
      </c>
      <c r="M26" s="70">
        <f>$M$6*'Financial Assessment'!$B$45</f>
        <v>1403.5179</v>
      </c>
      <c r="N26" s="70">
        <f>$N$6*'Financial Assessment'!$B$45</f>
        <v>59.070299999999996</v>
      </c>
      <c r="O26" s="70">
        <f>$O$6*'Financial Assessment'!$B$45</f>
        <v>56.4048</v>
      </c>
      <c r="P26" s="70">
        <f>$P$6*'Financial Assessment'!$B$45</f>
        <v>53.543099999999995</v>
      </c>
      <c r="Q26" s="70">
        <f>$Q$6*'Financial Assessment'!$B$45</f>
        <v>50.3223</v>
      </c>
      <c r="R26" s="70">
        <f>$R$6*'Financial Assessment'!$B$45</f>
        <v>1996.4732999999999</v>
      </c>
      <c r="S26" s="70">
        <f t="shared" si="6"/>
        <v>0.0099</v>
      </c>
      <c r="T26" s="256">
        <f t="shared" si="7"/>
        <v>0.03</v>
      </c>
      <c r="U26" s="255">
        <f t="shared" si="8"/>
        <v>0</v>
      </c>
      <c r="V26" s="256">
        <f t="shared" si="9"/>
        <v>0</v>
      </c>
    </row>
    <row r="27" spans="1:22" ht="14.25">
      <c r="A27" s="311">
        <f t="shared" si="10"/>
        <v>2023</v>
      </c>
      <c r="B27" s="255">
        <f>$B$6*'Financial Assessment'!$B$45</f>
        <v>450</v>
      </c>
      <c r="C27" s="70">
        <f>$C$6*'Financial Assessment'!$B$45</f>
        <v>1500</v>
      </c>
      <c r="D27" s="256">
        <f t="shared" si="0"/>
        <v>0.03</v>
      </c>
      <c r="E27" s="255">
        <f>$E$6*'Financial Assessment'!$B$45</f>
        <v>322.332</v>
      </c>
      <c r="F27" s="70">
        <f>$F$6*'Financial Assessment'!$B$45</f>
        <v>996.1676999999999</v>
      </c>
      <c r="G27" s="70">
        <f>$G$6*'Financial Assessment'!$B$45</f>
        <v>994.6716</v>
      </c>
      <c r="H27" s="70">
        <f>$H$6*'Financial Assessment'!$B$45</f>
        <v>80.3652</v>
      </c>
      <c r="I27" s="256">
        <f t="shared" si="2"/>
        <v>0.030000000000000006</v>
      </c>
      <c r="K27" s="70">
        <f>$K$6*'Financial Assessment'!$B$45</f>
        <v>67.61789999999999</v>
      </c>
      <c r="L27" s="70">
        <f>$L$6*'Financial Assessment'!$B$45</f>
        <v>64.833</v>
      </c>
      <c r="M27" s="70">
        <f>$M$6*'Financial Assessment'!$B$45</f>
        <v>1403.5179</v>
      </c>
      <c r="N27" s="70">
        <f>$N$6*'Financial Assessment'!$B$45</f>
        <v>59.070299999999996</v>
      </c>
      <c r="O27" s="70">
        <f>$O$6*'Financial Assessment'!$B$45</f>
        <v>56.4048</v>
      </c>
      <c r="P27" s="70">
        <f>$P$6*'Financial Assessment'!$B$45</f>
        <v>53.543099999999995</v>
      </c>
      <c r="Q27" s="70">
        <f>$Q$6*'Financial Assessment'!$B$45</f>
        <v>50.3223</v>
      </c>
      <c r="R27" s="70">
        <f>$R$6*'Financial Assessment'!$B$45</f>
        <v>1996.4732999999999</v>
      </c>
      <c r="S27" s="70">
        <f t="shared" si="6"/>
        <v>0.0099</v>
      </c>
      <c r="T27" s="256">
        <f t="shared" si="7"/>
        <v>0.03</v>
      </c>
      <c r="U27" s="255">
        <f t="shared" si="8"/>
        <v>0</v>
      </c>
      <c r="V27" s="256">
        <f t="shared" si="9"/>
        <v>0</v>
      </c>
    </row>
    <row r="28" spans="1:22" ht="14.25">
      <c r="A28" s="311">
        <f t="shared" si="10"/>
        <v>2024</v>
      </c>
      <c r="B28" s="255">
        <f>$B$6*'Financial Assessment'!$B$45</f>
        <v>450</v>
      </c>
      <c r="C28" s="70">
        <f>$C$6*'Financial Assessment'!$B$45</f>
        <v>1500</v>
      </c>
      <c r="D28" s="256">
        <f t="shared" si="0"/>
        <v>0.03</v>
      </c>
      <c r="E28" s="255">
        <f>$E$6*'Financial Assessment'!$B$45</f>
        <v>322.332</v>
      </c>
      <c r="F28" s="70">
        <f>$F$6*'Financial Assessment'!$B$45</f>
        <v>996.1676999999999</v>
      </c>
      <c r="G28" s="70">
        <f>$G$6*'Financial Assessment'!$B$45</f>
        <v>994.6716</v>
      </c>
      <c r="H28" s="70">
        <f>$H$6*'Financial Assessment'!$B$45</f>
        <v>80.3652</v>
      </c>
      <c r="I28" s="256">
        <f t="shared" si="2"/>
        <v>0.030000000000000006</v>
      </c>
      <c r="K28" s="70">
        <f>$K$6*'Financial Assessment'!$B$45</f>
        <v>67.61789999999999</v>
      </c>
      <c r="L28" s="70">
        <f>$L$6*'Financial Assessment'!$B$45</f>
        <v>64.833</v>
      </c>
      <c r="M28" s="70">
        <f>$M$6*'Financial Assessment'!$B$45</f>
        <v>1403.5179</v>
      </c>
      <c r="N28" s="70">
        <f>$N$6*'Financial Assessment'!$B$45</f>
        <v>59.070299999999996</v>
      </c>
      <c r="O28" s="70">
        <f>$O$6*'Financial Assessment'!$B$45</f>
        <v>56.4048</v>
      </c>
      <c r="P28" s="70">
        <f>$P$6*'Financial Assessment'!$B$45</f>
        <v>53.543099999999995</v>
      </c>
      <c r="Q28" s="70">
        <f>$Q$6*'Financial Assessment'!$B$45</f>
        <v>50.3223</v>
      </c>
      <c r="R28" s="70">
        <f>$R$6*'Financial Assessment'!$B$45</f>
        <v>1996.4732999999999</v>
      </c>
      <c r="S28" s="70">
        <f t="shared" si="6"/>
        <v>0.0099</v>
      </c>
      <c r="T28" s="256">
        <f t="shared" si="7"/>
        <v>0.03</v>
      </c>
      <c r="U28" s="255">
        <f t="shared" si="8"/>
        <v>0</v>
      </c>
      <c r="V28" s="256">
        <f t="shared" si="9"/>
        <v>0</v>
      </c>
    </row>
    <row r="29" spans="1:22" ht="14.25">
      <c r="A29" s="311">
        <f t="shared" si="10"/>
        <v>2025</v>
      </c>
      <c r="B29" s="255">
        <f>$B$6*'Financial Assessment'!$B$45</f>
        <v>450</v>
      </c>
      <c r="C29" s="70">
        <f>$C$6*'Financial Assessment'!$B$45</f>
        <v>1500</v>
      </c>
      <c r="D29" s="256">
        <f t="shared" si="0"/>
        <v>0.03</v>
      </c>
      <c r="E29" s="255">
        <f>$E$6*'Financial Assessment'!$B$45</f>
        <v>322.332</v>
      </c>
      <c r="F29" s="70">
        <f>$F$6*'Financial Assessment'!$B$45</f>
        <v>996.1676999999999</v>
      </c>
      <c r="G29" s="70">
        <f>$G$6*'Financial Assessment'!$B$45</f>
        <v>994.6716</v>
      </c>
      <c r="H29" s="70">
        <f>$H$6*'Financial Assessment'!$B$45</f>
        <v>80.3652</v>
      </c>
      <c r="I29" s="256">
        <f t="shared" si="2"/>
        <v>0.030000000000000006</v>
      </c>
      <c r="K29" s="70">
        <f>$K$6*'Financial Assessment'!$B$45</f>
        <v>67.61789999999999</v>
      </c>
      <c r="L29" s="70">
        <f>$L$6*'Financial Assessment'!$B$45</f>
        <v>64.833</v>
      </c>
      <c r="M29" s="70">
        <f>$M$6*'Financial Assessment'!$B$45</f>
        <v>1403.5179</v>
      </c>
      <c r="N29" s="70">
        <f>$N$6*'Financial Assessment'!$B$45</f>
        <v>59.070299999999996</v>
      </c>
      <c r="O29" s="70">
        <f>$O$6*'Financial Assessment'!$B$45</f>
        <v>56.4048</v>
      </c>
      <c r="P29" s="70">
        <f>$P$6*'Financial Assessment'!$B$45</f>
        <v>53.543099999999995</v>
      </c>
      <c r="Q29" s="70">
        <f>$Q$6*'Financial Assessment'!$B$45</f>
        <v>50.3223</v>
      </c>
      <c r="R29" s="70">
        <f>$R$6*'Financial Assessment'!$B$45</f>
        <v>1996.4732999999999</v>
      </c>
      <c r="S29" s="70">
        <f t="shared" si="6"/>
        <v>0.0099</v>
      </c>
      <c r="T29" s="256">
        <f t="shared" si="7"/>
        <v>0.03</v>
      </c>
      <c r="U29" s="255">
        <f t="shared" si="8"/>
        <v>0</v>
      </c>
      <c r="V29" s="256">
        <f t="shared" si="9"/>
        <v>0</v>
      </c>
    </row>
    <row r="30" spans="1:22" ht="14.25">
      <c r="A30" s="311">
        <f t="shared" si="10"/>
        <v>2026</v>
      </c>
      <c r="B30" s="255">
        <f>$B$6*'Financial Assessment'!$B$45</f>
        <v>450</v>
      </c>
      <c r="C30" s="70">
        <f>$C$6*'Financial Assessment'!$B$45</f>
        <v>1500</v>
      </c>
      <c r="D30" s="256">
        <f t="shared" si="0"/>
        <v>0.03</v>
      </c>
      <c r="E30" s="255">
        <f>$E$6*'Financial Assessment'!$B$45</f>
        <v>322.332</v>
      </c>
      <c r="F30" s="70">
        <f>$F$6*'Financial Assessment'!$B$45</f>
        <v>996.1676999999999</v>
      </c>
      <c r="G30" s="70">
        <f>$G$6*'Financial Assessment'!$B$45</f>
        <v>994.6716</v>
      </c>
      <c r="H30" s="70">
        <f>$H$6*'Financial Assessment'!$B$45</f>
        <v>80.3652</v>
      </c>
      <c r="I30" s="256">
        <f t="shared" si="2"/>
        <v>0.030000000000000006</v>
      </c>
      <c r="K30" s="70">
        <f>$K$6*'Financial Assessment'!$B$45</f>
        <v>67.61789999999999</v>
      </c>
      <c r="L30" s="70">
        <f>$L$6*'Financial Assessment'!$B$45</f>
        <v>64.833</v>
      </c>
      <c r="M30" s="70">
        <f>$M$6*'Financial Assessment'!$B$45</f>
        <v>1403.5179</v>
      </c>
      <c r="N30" s="70">
        <f>$N$6*'Financial Assessment'!$B$45</f>
        <v>59.070299999999996</v>
      </c>
      <c r="O30" s="70">
        <f>$O$6*'Financial Assessment'!$B$45</f>
        <v>56.4048</v>
      </c>
      <c r="P30" s="70">
        <f>$P$6*'Financial Assessment'!$B$45</f>
        <v>53.543099999999995</v>
      </c>
      <c r="Q30" s="70">
        <f>$Q$6*'Financial Assessment'!$B$45</f>
        <v>50.3223</v>
      </c>
      <c r="R30" s="70">
        <f>$R$6*'Financial Assessment'!$B$45</f>
        <v>1996.4732999999999</v>
      </c>
      <c r="S30" s="70">
        <f t="shared" si="6"/>
        <v>0.0099</v>
      </c>
      <c r="T30" s="256">
        <f t="shared" si="7"/>
        <v>0.03</v>
      </c>
      <c r="U30" s="255">
        <f t="shared" si="8"/>
        <v>0</v>
      </c>
      <c r="V30" s="256">
        <f t="shared" si="9"/>
        <v>0</v>
      </c>
    </row>
    <row r="31" spans="1:22" ht="14.25">
      <c r="A31" s="311">
        <f t="shared" si="10"/>
        <v>2027</v>
      </c>
      <c r="B31" s="255">
        <f>$B$6*'Financial Assessment'!$B$45</f>
        <v>450</v>
      </c>
      <c r="C31" s="70">
        <f>$C$6*'Financial Assessment'!$B$45</f>
        <v>1500</v>
      </c>
      <c r="D31" s="256">
        <f t="shared" si="0"/>
        <v>0.03</v>
      </c>
      <c r="E31" s="255">
        <f>$E$6*'Financial Assessment'!$B$45</f>
        <v>322.332</v>
      </c>
      <c r="F31" s="70">
        <f>$F$6*'Financial Assessment'!$B$45</f>
        <v>996.1676999999999</v>
      </c>
      <c r="G31" s="70">
        <f>$G$6*'Financial Assessment'!$B$45</f>
        <v>994.6716</v>
      </c>
      <c r="H31" s="70">
        <f>$H$6*'Financial Assessment'!$B$45</f>
        <v>80.3652</v>
      </c>
      <c r="I31" s="256">
        <f t="shared" si="2"/>
        <v>0.030000000000000006</v>
      </c>
      <c r="K31" s="70">
        <f>$K$6*'Financial Assessment'!$B$45</f>
        <v>67.61789999999999</v>
      </c>
      <c r="L31" s="70">
        <f>$L$6*'Financial Assessment'!$B$45</f>
        <v>64.833</v>
      </c>
      <c r="M31" s="70">
        <f>$M$6*'Financial Assessment'!$B$45</f>
        <v>1403.5179</v>
      </c>
      <c r="N31" s="70">
        <f>$N$6*'Financial Assessment'!$B$45</f>
        <v>59.070299999999996</v>
      </c>
      <c r="O31" s="70">
        <f>$O$6*'Financial Assessment'!$B$45</f>
        <v>56.4048</v>
      </c>
      <c r="P31" s="70">
        <f>$P$6*'Financial Assessment'!$B$45</f>
        <v>53.543099999999995</v>
      </c>
      <c r="Q31" s="70">
        <f>$Q$6*'Financial Assessment'!$B$45</f>
        <v>50.3223</v>
      </c>
      <c r="R31" s="70">
        <f>$R$6*'Financial Assessment'!$B$45</f>
        <v>1996.4732999999999</v>
      </c>
      <c r="S31" s="70">
        <f t="shared" si="6"/>
        <v>0.0099</v>
      </c>
      <c r="T31" s="256">
        <f t="shared" si="7"/>
        <v>0.03</v>
      </c>
      <c r="U31" s="255">
        <f t="shared" si="8"/>
        <v>0</v>
      </c>
      <c r="V31" s="256">
        <f t="shared" si="9"/>
        <v>0</v>
      </c>
    </row>
    <row r="32" spans="1:22" ht="14.25">
      <c r="A32" s="311">
        <f t="shared" si="10"/>
        <v>2028</v>
      </c>
      <c r="B32" s="255">
        <f>$B$6*'Financial Assessment'!$B$45</f>
        <v>450</v>
      </c>
      <c r="C32" s="70">
        <f>$C$6*'Financial Assessment'!$B$45</f>
        <v>1500</v>
      </c>
      <c r="D32" s="256">
        <f t="shared" si="0"/>
        <v>0.03</v>
      </c>
      <c r="E32" s="255">
        <f>$E$6*'Financial Assessment'!$B$45</f>
        <v>322.332</v>
      </c>
      <c r="F32" s="70">
        <f>$F$6*'Financial Assessment'!$B$45</f>
        <v>996.1676999999999</v>
      </c>
      <c r="G32" s="70">
        <f>$G$6*'Financial Assessment'!$B$45</f>
        <v>994.6716</v>
      </c>
      <c r="H32" s="70">
        <f>$H$6*'Financial Assessment'!$B$45</f>
        <v>80.3652</v>
      </c>
      <c r="I32" s="256">
        <f t="shared" si="2"/>
        <v>0.030000000000000006</v>
      </c>
      <c r="K32" s="70">
        <f>$K$6*'Financial Assessment'!$B$45</f>
        <v>67.61789999999999</v>
      </c>
      <c r="L32" s="70">
        <f>$L$6*'Financial Assessment'!$B$45</f>
        <v>64.833</v>
      </c>
      <c r="M32" s="70">
        <f>$M$6*'Financial Assessment'!$B$45</f>
        <v>1403.5179</v>
      </c>
      <c r="N32" s="70">
        <f>$N$6*'Financial Assessment'!$B$45</f>
        <v>59.070299999999996</v>
      </c>
      <c r="O32" s="70">
        <f>$O$6*'Financial Assessment'!$B$45</f>
        <v>56.4048</v>
      </c>
      <c r="P32" s="70">
        <f>$P$6*'Financial Assessment'!$B$45</f>
        <v>53.543099999999995</v>
      </c>
      <c r="Q32" s="70">
        <f>$Q$6*'Financial Assessment'!$B$45</f>
        <v>50.3223</v>
      </c>
      <c r="R32" s="70">
        <f>$R$6*'Financial Assessment'!$B$45</f>
        <v>1996.4732999999999</v>
      </c>
      <c r="S32" s="70">
        <f t="shared" si="6"/>
        <v>0.0099</v>
      </c>
      <c r="T32" s="256">
        <f t="shared" si="7"/>
        <v>0.03</v>
      </c>
      <c r="U32" s="255">
        <f t="shared" si="8"/>
        <v>0</v>
      </c>
      <c r="V32" s="256">
        <f t="shared" si="9"/>
        <v>0</v>
      </c>
    </row>
    <row r="33" spans="1:22" ht="14.25">
      <c r="A33" s="311">
        <f t="shared" si="10"/>
        <v>2029</v>
      </c>
      <c r="B33" s="255">
        <f>$B$6*'Financial Assessment'!$B$45</f>
        <v>450</v>
      </c>
      <c r="C33" s="70">
        <f>$C$6*'Financial Assessment'!$B$45</f>
        <v>1500</v>
      </c>
      <c r="D33" s="256">
        <f t="shared" si="0"/>
        <v>0.03</v>
      </c>
      <c r="E33" s="255">
        <f>$E$6*'Financial Assessment'!$B$45</f>
        <v>322.332</v>
      </c>
      <c r="F33" s="70">
        <f>$F$6*'Financial Assessment'!$B$45</f>
        <v>996.1676999999999</v>
      </c>
      <c r="G33" s="70">
        <f>$G$6*'Financial Assessment'!$B$45</f>
        <v>994.6716</v>
      </c>
      <c r="H33" s="70">
        <f>$H$6*'Financial Assessment'!$B$45</f>
        <v>80.3652</v>
      </c>
      <c r="I33" s="256">
        <f t="shared" si="2"/>
        <v>0.030000000000000006</v>
      </c>
      <c r="K33" s="70">
        <f>$K$6*'Financial Assessment'!$B$45</f>
        <v>67.61789999999999</v>
      </c>
      <c r="L33" s="70">
        <f>$L$6*'Financial Assessment'!$B$45</f>
        <v>64.833</v>
      </c>
      <c r="M33" s="70">
        <f>$M$6*'Financial Assessment'!$B$45</f>
        <v>1403.5179</v>
      </c>
      <c r="N33" s="70">
        <f>$N$6*'Financial Assessment'!$B$45</f>
        <v>59.070299999999996</v>
      </c>
      <c r="O33" s="70">
        <f>$O$6*'Financial Assessment'!$B$45</f>
        <v>56.4048</v>
      </c>
      <c r="P33" s="70">
        <f>$P$6*'Financial Assessment'!$B$45</f>
        <v>53.543099999999995</v>
      </c>
      <c r="Q33" s="70">
        <f>$Q$6*'Financial Assessment'!$B$45</f>
        <v>50.3223</v>
      </c>
      <c r="R33" s="70">
        <f>$R$6*'Financial Assessment'!$B$45</f>
        <v>1996.4732999999999</v>
      </c>
      <c r="S33" s="70">
        <f t="shared" si="6"/>
        <v>0.0099</v>
      </c>
      <c r="T33" s="256">
        <f t="shared" si="7"/>
        <v>0.03</v>
      </c>
      <c r="U33" s="255">
        <f t="shared" si="8"/>
        <v>0</v>
      </c>
      <c r="V33" s="256">
        <f t="shared" si="9"/>
        <v>0</v>
      </c>
    </row>
    <row r="34" spans="1:22" ht="14.25">
      <c r="A34" s="311">
        <f t="shared" si="10"/>
        <v>2030</v>
      </c>
      <c r="B34" s="255">
        <f>$B$6*'Financial Assessment'!$B$45</f>
        <v>450</v>
      </c>
      <c r="C34" s="70">
        <f>$C$6*'Financial Assessment'!$B$45</f>
        <v>1500</v>
      </c>
      <c r="D34" s="256">
        <f t="shared" si="0"/>
        <v>0.03</v>
      </c>
      <c r="E34" s="255">
        <f>$E$6*'Financial Assessment'!$B$45</f>
        <v>322.332</v>
      </c>
      <c r="F34" s="70">
        <f>$F$6*'Financial Assessment'!$B$45</f>
        <v>996.1676999999999</v>
      </c>
      <c r="G34" s="70">
        <f>$G$6*'Financial Assessment'!$B$45</f>
        <v>994.6716</v>
      </c>
      <c r="H34" s="70">
        <f>$H$6*'Financial Assessment'!$B$45</f>
        <v>80.3652</v>
      </c>
      <c r="I34" s="256">
        <f t="shared" si="2"/>
        <v>0.030000000000000006</v>
      </c>
      <c r="K34" s="70">
        <f>$K$6*'Financial Assessment'!$B$45</f>
        <v>67.61789999999999</v>
      </c>
      <c r="L34" s="70">
        <f>$L$6*'Financial Assessment'!$B$45</f>
        <v>64.833</v>
      </c>
      <c r="M34" s="70">
        <f>$M$6*'Financial Assessment'!$B$45</f>
        <v>1403.5179</v>
      </c>
      <c r="N34" s="70">
        <f>$N$6*'Financial Assessment'!$B$45</f>
        <v>59.070299999999996</v>
      </c>
      <c r="O34" s="70">
        <f>$O$6*'Financial Assessment'!$B$45</f>
        <v>56.4048</v>
      </c>
      <c r="P34" s="70">
        <f>$P$6*'Financial Assessment'!$B$45</f>
        <v>53.543099999999995</v>
      </c>
      <c r="Q34" s="70">
        <f>$Q$6*'Financial Assessment'!$B$45</f>
        <v>50.3223</v>
      </c>
      <c r="R34" s="70">
        <f>$R$6*'Financial Assessment'!$B$45</f>
        <v>1996.4732999999999</v>
      </c>
      <c r="S34" s="70">
        <f t="shared" si="6"/>
        <v>0.0099</v>
      </c>
      <c r="T34" s="256">
        <f t="shared" si="7"/>
        <v>0.03</v>
      </c>
      <c r="U34" s="255">
        <f t="shared" si="8"/>
        <v>0</v>
      </c>
      <c r="V34" s="256">
        <f t="shared" si="9"/>
        <v>0</v>
      </c>
    </row>
    <row r="35" spans="1:22" ht="14.25">
      <c r="A35" s="311">
        <f t="shared" si="10"/>
        <v>2031</v>
      </c>
      <c r="B35" s="255">
        <f>$B$6*'Financial Assessment'!$B$45</f>
        <v>450</v>
      </c>
      <c r="C35" s="70">
        <f>$C$6*'Financial Assessment'!$B$45</f>
        <v>1500</v>
      </c>
      <c r="D35" s="256">
        <f t="shared" si="0"/>
        <v>0.03</v>
      </c>
      <c r="E35" s="255">
        <f>$E$6*'Financial Assessment'!$B$45</f>
        <v>322.332</v>
      </c>
      <c r="F35" s="70">
        <f>$F$6*'Financial Assessment'!$B$45</f>
        <v>996.1676999999999</v>
      </c>
      <c r="G35" s="70">
        <f>$G$6*'Financial Assessment'!$B$45</f>
        <v>994.6716</v>
      </c>
      <c r="H35" s="70">
        <f>$H$6*'Financial Assessment'!$B$45</f>
        <v>80.3652</v>
      </c>
      <c r="I35" s="256">
        <f t="shared" si="2"/>
        <v>0.030000000000000006</v>
      </c>
      <c r="K35" s="70">
        <f>$K$6*'Financial Assessment'!$B$45</f>
        <v>67.61789999999999</v>
      </c>
      <c r="L35" s="70">
        <f>$L$6*'Financial Assessment'!$B$45</f>
        <v>64.833</v>
      </c>
      <c r="M35" s="70">
        <f>$M$6*'Financial Assessment'!$B$45</f>
        <v>1403.5179</v>
      </c>
      <c r="N35" s="70">
        <f>$N$6*'Financial Assessment'!$B$45</f>
        <v>59.070299999999996</v>
      </c>
      <c r="O35" s="70">
        <f>$O$6*'Financial Assessment'!$B$45</f>
        <v>56.4048</v>
      </c>
      <c r="P35" s="70">
        <f>$P$6*'Financial Assessment'!$B$45</f>
        <v>53.543099999999995</v>
      </c>
      <c r="Q35" s="70">
        <f>$Q$6*'Financial Assessment'!$B$45</f>
        <v>50.3223</v>
      </c>
      <c r="R35" s="70">
        <f>$R$6*'Financial Assessment'!$B$45</f>
        <v>1996.4732999999999</v>
      </c>
      <c r="S35" s="70">
        <f t="shared" si="6"/>
        <v>0.0099</v>
      </c>
      <c r="T35" s="256">
        <f t="shared" si="7"/>
        <v>0.03</v>
      </c>
      <c r="U35" s="255">
        <f t="shared" si="8"/>
        <v>0</v>
      </c>
      <c r="V35" s="256">
        <f t="shared" si="9"/>
        <v>0</v>
      </c>
    </row>
    <row r="36" spans="1:22" ht="14.25">
      <c r="A36" s="311">
        <f t="shared" si="10"/>
        <v>2032</v>
      </c>
      <c r="B36" s="255">
        <f>$B$6*'Financial Assessment'!$B$45</f>
        <v>450</v>
      </c>
      <c r="C36" s="70">
        <f>$C$6*'Financial Assessment'!$B$45</f>
        <v>1500</v>
      </c>
      <c r="D36" s="256">
        <f t="shared" si="0"/>
        <v>0.03</v>
      </c>
      <c r="E36" s="255">
        <f>$E$6*'Financial Assessment'!$B$45</f>
        <v>322.332</v>
      </c>
      <c r="F36" s="70">
        <f>$F$6*'Financial Assessment'!$B$45</f>
        <v>996.1676999999999</v>
      </c>
      <c r="G36" s="70">
        <f>$G$6*'Financial Assessment'!$B$45</f>
        <v>994.6716</v>
      </c>
      <c r="H36" s="70">
        <f>$H$6*'Financial Assessment'!$B$45</f>
        <v>80.3652</v>
      </c>
      <c r="I36" s="256">
        <f t="shared" si="2"/>
        <v>0.030000000000000006</v>
      </c>
      <c r="K36" s="70">
        <f>$K$6*'Financial Assessment'!$B$45</f>
        <v>67.61789999999999</v>
      </c>
      <c r="L36" s="70">
        <f>$L$6*'Financial Assessment'!$B$45</f>
        <v>64.833</v>
      </c>
      <c r="M36" s="70">
        <f>$M$6*'Financial Assessment'!$B$45</f>
        <v>1403.5179</v>
      </c>
      <c r="N36" s="70">
        <f>$N$6*'Financial Assessment'!$B$45</f>
        <v>59.070299999999996</v>
      </c>
      <c r="O36" s="70">
        <f>$O$6*'Financial Assessment'!$B$45</f>
        <v>56.4048</v>
      </c>
      <c r="P36" s="70">
        <f>$P$6*'Financial Assessment'!$B$45</f>
        <v>53.543099999999995</v>
      </c>
      <c r="Q36" s="70">
        <f>$Q$6*'Financial Assessment'!$B$45</f>
        <v>50.3223</v>
      </c>
      <c r="R36" s="70">
        <f>$R$6*'Financial Assessment'!$B$45</f>
        <v>1996.4732999999999</v>
      </c>
      <c r="S36" s="70">
        <f t="shared" si="6"/>
        <v>0.0099</v>
      </c>
      <c r="T36" s="256">
        <f t="shared" si="7"/>
        <v>0.03</v>
      </c>
      <c r="U36" s="255">
        <f t="shared" si="8"/>
        <v>0</v>
      </c>
      <c r="V36" s="256">
        <f t="shared" si="9"/>
        <v>0</v>
      </c>
    </row>
    <row r="37" spans="1:22" ht="14.25">
      <c r="A37" s="311">
        <f t="shared" si="10"/>
        <v>2033</v>
      </c>
      <c r="B37" s="255">
        <f>$B$6*'Financial Assessment'!$B$45</f>
        <v>450</v>
      </c>
      <c r="C37" s="70">
        <f>$C$6*'Financial Assessment'!$B$45</f>
        <v>1500</v>
      </c>
      <c r="D37" s="256">
        <f t="shared" si="0"/>
        <v>0.03</v>
      </c>
      <c r="E37" s="255">
        <f>$E$6*'Financial Assessment'!$B$45</f>
        <v>322.332</v>
      </c>
      <c r="F37" s="70">
        <f>$F$6*'Financial Assessment'!$B$45</f>
        <v>996.1676999999999</v>
      </c>
      <c r="G37" s="70">
        <f>$G$6*'Financial Assessment'!$B$45</f>
        <v>994.6716</v>
      </c>
      <c r="H37" s="70">
        <f>$H$6*'Financial Assessment'!$B$45</f>
        <v>80.3652</v>
      </c>
      <c r="I37" s="256">
        <f t="shared" si="2"/>
        <v>0.030000000000000006</v>
      </c>
      <c r="K37" s="70">
        <f>$K$6*'Financial Assessment'!$B$45</f>
        <v>67.61789999999999</v>
      </c>
      <c r="L37" s="70">
        <f>$L$6*'Financial Assessment'!$B$45</f>
        <v>64.833</v>
      </c>
      <c r="M37" s="70">
        <f>$M$6*'Financial Assessment'!$B$45</f>
        <v>1403.5179</v>
      </c>
      <c r="N37" s="70">
        <f>$N$6*'Financial Assessment'!$B$45</f>
        <v>59.070299999999996</v>
      </c>
      <c r="O37" s="70">
        <f>$O$6*'Financial Assessment'!$B$45</f>
        <v>56.4048</v>
      </c>
      <c r="P37" s="70">
        <f>$P$6*'Financial Assessment'!$B$45</f>
        <v>53.543099999999995</v>
      </c>
      <c r="Q37" s="70">
        <f>$Q$6*'Financial Assessment'!$B$45</f>
        <v>50.3223</v>
      </c>
      <c r="R37" s="70">
        <f>$R$6*'Financial Assessment'!$B$45</f>
        <v>1996.4732999999999</v>
      </c>
      <c r="S37" s="70">
        <f t="shared" si="6"/>
        <v>0.0099</v>
      </c>
      <c r="T37" s="256">
        <f t="shared" si="7"/>
        <v>0.03</v>
      </c>
      <c r="U37" s="255">
        <f t="shared" si="8"/>
        <v>0</v>
      </c>
      <c r="V37" s="256">
        <f t="shared" si="9"/>
        <v>0</v>
      </c>
    </row>
    <row r="38" spans="1:22" ht="14.25">
      <c r="A38" s="311">
        <f t="shared" si="10"/>
        <v>2034</v>
      </c>
      <c r="B38" s="255">
        <f>$B$6*'Financial Assessment'!$B$45</f>
        <v>450</v>
      </c>
      <c r="C38" s="70">
        <f>$C$6*'Financial Assessment'!$B$45</f>
        <v>1500</v>
      </c>
      <c r="D38" s="256">
        <f t="shared" si="0"/>
        <v>0.03</v>
      </c>
      <c r="E38" s="255">
        <f>$E$6*'Financial Assessment'!$B$45</f>
        <v>322.332</v>
      </c>
      <c r="F38" s="70">
        <f>$F$6*'Financial Assessment'!$B$45</f>
        <v>996.1676999999999</v>
      </c>
      <c r="G38" s="70">
        <f>$G$6*'Financial Assessment'!$B$45</f>
        <v>994.6716</v>
      </c>
      <c r="H38" s="70">
        <f>$H$6*'Financial Assessment'!$B$45</f>
        <v>80.3652</v>
      </c>
      <c r="I38" s="256">
        <f t="shared" si="2"/>
        <v>0.030000000000000006</v>
      </c>
      <c r="K38" s="70">
        <f>$K$6*'Financial Assessment'!$B$45</f>
        <v>67.61789999999999</v>
      </c>
      <c r="L38" s="70">
        <f>$L$6*'Financial Assessment'!$B$45</f>
        <v>64.833</v>
      </c>
      <c r="M38" s="70">
        <f>$M$6*'Financial Assessment'!$B$45</f>
        <v>1403.5179</v>
      </c>
      <c r="N38" s="70">
        <f>$N$6*'Financial Assessment'!$B$45</f>
        <v>59.070299999999996</v>
      </c>
      <c r="O38" s="70">
        <f>$O$6*'Financial Assessment'!$B$45</f>
        <v>56.4048</v>
      </c>
      <c r="P38" s="70">
        <f>$P$6*'Financial Assessment'!$B$45</f>
        <v>53.543099999999995</v>
      </c>
      <c r="Q38" s="70">
        <f>$Q$6*'Financial Assessment'!$B$45</f>
        <v>50.3223</v>
      </c>
      <c r="R38" s="70">
        <f>$R$6*'Financial Assessment'!$B$45</f>
        <v>1996.4732999999999</v>
      </c>
      <c r="S38" s="70">
        <f t="shared" si="6"/>
        <v>0.0099</v>
      </c>
      <c r="T38" s="256">
        <f t="shared" si="7"/>
        <v>0.03</v>
      </c>
      <c r="U38" s="255">
        <f t="shared" si="8"/>
        <v>0</v>
      </c>
      <c r="V38" s="256">
        <f t="shared" si="9"/>
        <v>0</v>
      </c>
    </row>
    <row r="39" spans="1:22" ht="14.25">
      <c r="A39" s="311">
        <f t="shared" si="10"/>
        <v>2035</v>
      </c>
      <c r="B39" s="255">
        <f>$B$6*'Financial Assessment'!$B$45</f>
        <v>450</v>
      </c>
      <c r="C39" s="70">
        <f>$C$6*'Financial Assessment'!$B$45</f>
        <v>1500</v>
      </c>
      <c r="D39" s="256">
        <f t="shared" si="0"/>
        <v>0.03</v>
      </c>
      <c r="E39" s="255">
        <f>$E$6*'Financial Assessment'!$B$45</f>
        <v>322.332</v>
      </c>
      <c r="F39" s="70">
        <f>$F$6*'Financial Assessment'!$B$45</f>
        <v>996.1676999999999</v>
      </c>
      <c r="G39" s="70">
        <f>$G$6*'Financial Assessment'!$B$45</f>
        <v>994.6716</v>
      </c>
      <c r="H39" s="70">
        <f>$H$6*'Financial Assessment'!$B$45</f>
        <v>80.3652</v>
      </c>
      <c r="I39" s="256">
        <f t="shared" si="2"/>
        <v>0.030000000000000006</v>
      </c>
      <c r="K39" s="70">
        <f>$K$6*'Financial Assessment'!$B$45</f>
        <v>67.61789999999999</v>
      </c>
      <c r="L39" s="70">
        <f>$L$6*'Financial Assessment'!$B$45</f>
        <v>64.833</v>
      </c>
      <c r="M39" s="70">
        <f>$M$6*'Financial Assessment'!$B$45</f>
        <v>1403.5179</v>
      </c>
      <c r="N39" s="70">
        <f>$N$6*'Financial Assessment'!$B$45</f>
        <v>59.070299999999996</v>
      </c>
      <c r="O39" s="70">
        <f>$O$6*'Financial Assessment'!$B$45</f>
        <v>56.4048</v>
      </c>
      <c r="P39" s="70">
        <f>$P$6*'Financial Assessment'!$B$45</f>
        <v>53.543099999999995</v>
      </c>
      <c r="Q39" s="70">
        <f>$Q$6*'Financial Assessment'!$B$45</f>
        <v>50.3223</v>
      </c>
      <c r="R39" s="70">
        <f>$R$6*'Financial Assessment'!$B$45</f>
        <v>1996.4732999999999</v>
      </c>
      <c r="S39" s="70">
        <f t="shared" si="6"/>
        <v>0.0099</v>
      </c>
      <c r="T39" s="256">
        <f t="shared" si="7"/>
        <v>0.03</v>
      </c>
      <c r="U39" s="255">
        <f t="shared" si="8"/>
        <v>0</v>
      </c>
      <c r="V39" s="256">
        <f t="shared" si="9"/>
        <v>0</v>
      </c>
    </row>
    <row r="40" spans="1:22" ht="14.25">
      <c r="A40" s="311">
        <f t="shared" si="10"/>
        <v>2036</v>
      </c>
      <c r="B40" s="255">
        <f>$B$6*'Financial Assessment'!$B$45</f>
        <v>450</v>
      </c>
      <c r="C40" s="70">
        <f>$C$6*'Financial Assessment'!$B$45</f>
        <v>1500</v>
      </c>
      <c r="D40" s="256">
        <f t="shared" si="0"/>
        <v>0.03</v>
      </c>
      <c r="E40" s="255">
        <f>$E$6*'Financial Assessment'!$B$45</f>
        <v>322.332</v>
      </c>
      <c r="F40" s="70">
        <f>$F$6*'Financial Assessment'!$B$45</f>
        <v>996.1676999999999</v>
      </c>
      <c r="G40" s="70">
        <f>$G$6*'Financial Assessment'!$B$45</f>
        <v>994.6716</v>
      </c>
      <c r="H40" s="70">
        <f>$H$6*'Financial Assessment'!$B$45</f>
        <v>80.3652</v>
      </c>
      <c r="I40" s="256">
        <f t="shared" si="2"/>
        <v>0.030000000000000006</v>
      </c>
      <c r="K40" s="70">
        <f>$K$6*'Financial Assessment'!$B$45</f>
        <v>67.61789999999999</v>
      </c>
      <c r="L40" s="70">
        <f>$L$6*'Financial Assessment'!$B$45</f>
        <v>64.833</v>
      </c>
      <c r="M40" s="70">
        <f>$M$6*'Financial Assessment'!$B$45</f>
        <v>1403.5179</v>
      </c>
      <c r="N40" s="70">
        <f>$N$6*'Financial Assessment'!$B$45</f>
        <v>59.070299999999996</v>
      </c>
      <c r="O40" s="70">
        <f>$O$6*'Financial Assessment'!$B$45</f>
        <v>56.4048</v>
      </c>
      <c r="P40" s="70">
        <f>$P$6*'Financial Assessment'!$B$45</f>
        <v>53.543099999999995</v>
      </c>
      <c r="Q40" s="70">
        <f>$Q$6*'Financial Assessment'!$B$45</f>
        <v>50.3223</v>
      </c>
      <c r="R40" s="70">
        <f>$R$6*'Financial Assessment'!$B$45</f>
        <v>1996.4732999999999</v>
      </c>
      <c r="S40" s="70">
        <f t="shared" si="6"/>
        <v>0.0099</v>
      </c>
      <c r="T40" s="256">
        <f t="shared" si="7"/>
        <v>0.03</v>
      </c>
      <c r="U40" s="255">
        <f t="shared" si="8"/>
        <v>0</v>
      </c>
      <c r="V40" s="256">
        <f t="shared" si="9"/>
        <v>0</v>
      </c>
    </row>
    <row r="41" spans="1:22" ht="14.25">
      <c r="A41" s="311">
        <f t="shared" si="10"/>
        <v>2037</v>
      </c>
      <c r="B41" s="255">
        <f>$B$6*'Financial Assessment'!$B$45</f>
        <v>450</v>
      </c>
      <c r="C41" s="70">
        <f>$C$6*'Financial Assessment'!$B$45</f>
        <v>1500</v>
      </c>
      <c r="D41" s="256">
        <f t="shared" si="0"/>
        <v>0.03</v>
      </c>
      <c r="E41" s="255">
        <f>$E$6*'Financial Assessment'!$B$45</f>
        <v>322.332</v>
      </c>
      <c r="F41" s="70">
        <f>$F$6*'Financial Assessment'!$B$45</f>
        <v>996.1676999999999</v>
      </c>
      <c r="G41" s="70">
        <f>$G$6*'Financial Assessment'!$B$45</f>
        <v>994.6716</v>
      </c>
      <c r="H41" s="70">
        <f>$H$6*'Financial Assessment'!$B$45</f>
        <v>80.3652</v>
      </c>
      <c r="I41" s="256">
        <f t="shared" si="2"/>
        <v>0.030000000000000006</v>
      </c>
      <c r="K41" s="70">
        <f>$K$6*'Financial Assessment'!$B$45</f>
        <v>67.61789999999999</v>
      </c>
      <c r="L41" s="70">
        <f>$L$6*'Financial Assessment'!$B$45</f>
        <v>64.833</v>
      </c>
      <c r="M41" s="70">
        <f>$M$6*'Financial Assessment'!$B$45</f>
        <v>1403.5179</v>
      </c>
      <c r="N41" s="70">
        <f>$N$6*'Financial Assessment'!$B$45</f>
        <v>59.070299999999996</v>
      </c>
      <c r="O41" s="70">
        <f>$O$6*'Financial Assessment'!$B$45</f>
        <v>56.4048</v>
      </c>
      <c r="P41" s="70">
        <f>$P$6*'Financial Assessment'!$B$45</f>
        <v>53.543099999999995</v>
      </c>
      <c r="Q41" s="70">
        <f>$Q$6*'Financial Assessment'!$B$45</f>
        <v>50.3223</v>
      </c>
      <c r="R41" s="70">
        <f>$R$6*'Financial Assessment'!$B$45</f>
        <v>1996.4732999999999</v>
      </c>
      <c r="S41" s="70">
        <f t="shared" si="6"/>
        <v>0.0099</v>
      </c>
      <c r="T41" s="256">
        <f t="shared" si="7"/>
        <v>0.03</v>
      </c>
      <c r="U41" s="255">
        <f t="shared" si="8"/>
        <v>0</v>
      </c>
      <c r="V41" s="256">
        <f t="shared" si="9"/>
        <v>0</v>
      </c>
    </row>
    <row r="42" spans="1:22" ht="14.25">
      <c r="A42" s="311">
        <f t="shared" si="10"/>
        <v>2038</v>
      </c>
      <c r="B42" s="255">
        <f>$B$6*'Financial Assessment'!$B$45</f>
        <v>450</v>
      </c>
      <c r="C42" s="70">
        <f>$C$6*'Financial Assessment'!$B$45</f>
        <v>1500</v>
      </c>
      <c r="D42" s="256">
        <f t="shared" si="0"/>
        <v>0.03</v>
      </c>
      <c r="E42" s="255">
        <f>$E$6*'Financial Assessment'!$B$45</f>
        <v>322.332</v>
      </c>
      <c r="F42" s="70">
        <f>$F$6*'Financial Assessment'!$B$45</f>
        <v>996.1676999999999</v>
      </c>
      <c r="G42" s="70">
        <f>$G$6*'Financial Assessment'!$B$45</f>
        <v>994.6716</v>
      </c>
      <c r="H42" s="70">
        <f>$H$6*'Financial Assessment'!$B$45</f>
        <v>80.3652</v>
      </c>
      <c r="I42" s="256">
        <f t="shared" si="2"/>
        <v>0.030000000000000006</v>
      </c>
      <c r="K42" s="70">
        <f>$K$6*'Financial Assessment'!$B$45</f>
        <v>67.61789999999999</v>
      </c>
      <c r="L42" s="70">
        <f>$L$6*'Financial Assessment'!$B$45</f>
        <v>64.833</v>
      </c>
      <c r="M42" s="70">
        <f>$M$6*'Financial Assessment'!$B$45</f>
        <v>1403.5179</v>
      </c>
      <c r="N42" s="70">
        <f>$N$6*'Financial Assessment'!$B$45</f>
        <v>59.070299999999996</v>
      </c>
      <c r="O42" s="70">
        <f>$O$6*'Financial Assessment'!$B$45</f>
        <v>56.4048</v>
      </c>
      <c r="P42" s="70">
        <f>$P$6*'Financial Assessment'!$B$45</f>
        <v>53.543099999999995</v>
      </c>
      <c r="Q42" s="70">
        <f>$Q$6*'Financial Assessment'!$B$45</f>
        <v>50.3223</v>
      </c>
      <c r="R42" s="70">
        <f>$R$6*'Financial Assessment'!$B$45</f>
        <v>1996.4732999999999</v>
      </c>
      <c r="S42" s="70">
        <f t="shared" si="6"/>
        <v>0.0099</v>
      </c>
      <c r="T42" s="256">
        <f t="shared" si="7"/>
        <v>0.03</v>
      </c>
      <c r="U42" s="255">
        <f t="shared" si="8"/>
        <v>0</v>
      </c>
      <c r="V42" s="256">
        <f t="shared" si="9"/>
        <v>0</v>
      </c>
    </row>
    <row r="43" spans="1:22" ht="14.25">
      <c r="A43" s="311">
        <f t="shared" si="10"/>
        <v>2039</v>
      </c>
      <c r="B43" s="255">
        <f>$B$6*'Financial Assessment'!$B$45</f>
        <v>450</v>
      </c>
      <c r="C43" s="70">
        <f>$C$6*'Financial Assessment'!$B$45</f>
        <v>1500</v>
      </c>
      <c r="D43" s="256">
        <f t="shared" si="0"/>
        <v>0.03</v>
      </c>
      <c r="E43" s="255">
        <f>$E$6*'Financial Assessment'!$B$45</f>
        <v>322.332</v>
      </c>
      <c r="F43" s="70">
        <f>$F$6*'Financial Assessment'!$B$45</f>
        <v>996.1676999999999</v>
      </c>
      <c r="G43" s="70">
        <f>$G$6*'Financial Assessment'!$B$45</f>
        <v>994.6716</v>
      </c>
      <c r="H43" s="70">
        <f>$H$6*'Financial Assessment'!$B$45</f>
        <v>80.3652</v>
      </c>
      <c r="I43" s="256">
        <f t="shared" si="2"/>
        <v>0.030000000000000006</v>
      </c>
      <c r="K43" s="70">
        <f>$K$6*'Financial Assessment'!$B$45</f>
        <v>67.61789999999999</v>
      </c>
      <c r="L43" s="70">
        <f>$L$6*'Financial Assessment'!$B$45</f>
        <v>64.833</v>
      </c>
      <c r="M43" s="70">
        <f>$M$6*'Financial Assessment'!$B$45</f>
        <v>1403.5179</v>
      </c>
      <c r="N43" s="70">
        <f>$N$6*'Financial Assessment'!$B$45</f>
        <v>59.070299999999996</v>
      </c>
      <c r="O43" s="70">
        <f>$O$6*'Financial Assessment'!$B$45</f>
        <v>56.4048</v>
      </c>
      <c r="P43" s="70">
        <f>$P$6*'Financial Assessment'!$B$45</f>
        <v>53.543099999999995</v>
      </c>
      <c r="Q43" s="70">
        <f>$Q$6*'Financial Assessment'!$B$45</f>
        <v>50.3223</v>
      </c>
      <c r="R43" s="70">
        <f>$R$6*'Financial Assessment'!$B$45</f>
        <v>1996.4732999999999</v>
      </c>
      <c r="S43" s="70">
        <f t="shared" si="6"/>
        <v>0.0099</v>
      </c>
      <c r="T43" s="256">
        <f t="shared" si="7"/>
        <v>0.03</v>
      </c>
      <c r="U43" s="255">
        <f t="shared" si="8"/>
        <v>0</v>
      </c>
      <c r="V43" s="256">
        <f t="shared" si="9"/>
        <v>0</v>
      </c>
    </row>
    <row r="44" spans="1:22" ht="14.25">
      <c r="A44" s="311">
        <f t="shared" si="10"/>
        <v>2040</v>
      </c>
      <c r="B44" s="255">
        <f>$B$6*'Financial Assessment'!$B$45</f>
        <v>450</v>
      </c>
      <c r="C44" s="70">
        <f>$C$6*'Financial Assessment'!$B$45</f>
        <v>1500</v>
      </c>
      <c r="D44" s="256">
        <f t="shared" si="0"/>
        <v>0.03</v>
      </c>
      <c r="E44" s="255">
        <f>$E$6*'Financial Assessment'!$B$45</f>
        <v>322.332</v>
      </c>
      <c r="F44" s="70">
        <f>$F$6*'Financial Assessment'!$B$45</f>
        <v>996.1676999999999</v>
      </c>
      <c r="G44" s="70">
        <f>$G$6*'Financial Assessment'!$B$45</f>
        <v>994.6716</v>
      </c>
      <c r="H44" s="70">
        <f>$H$6*'Financial Assessment'!$B$45</f>
        <v>80.3652</v>
      </c>
      <c r="I44" s="256">
        <f t="shared" si="2"/>
        <v>0.030000000000000006</v>
      </c>
      <c r="K44" s="70">
        <f>$K$6*'Financial Assessment'!$B$45</f>
        <v>67.61789999999999</v>
      </c>
      <c r="L44" s="70">
        <f>$L$6*'Financial Assessment'!$B$45</f>
        <v>64.833</v>
      </c>
      <c r="M44" s="70">
        <f>$M$6*'Financial Assessment'!$B$45</f>
        <v>1403.5179</v>
      </c>
      <c r="N44" s="70">
        <f>$N$6*'Financial Assessment'!$B$45</f>
        <v>59.070299999999996</v>
      </c>
      <c r="O44" s="70">
        <f>$O$6*'Financial Assessment'!$B$45</f>
        <v>56.4048</v>
      </c>
      <c r="P44" s="70">
        <f>$P$6*'Financial Assessment'!$B$45</f>
        <v>53.543099999999995</v>
      </c>
      <c r="Q44" s="70">
        <f>$Q$6*'Financial Assessment'!$B$45</f>
        <v>50.3223</v>
      </c>
      <c r="R44" s="70">
        <f>$R$6*'Financial Assessment'!$B$45</f>
        <v>1996.4732999999999</v>
      </c>
      <c r="S44" s="70">
        <f t="shared" si="6"/>
        <v>0.0099</v>
      </c>
      <c r="T44" s="256">
        <f t="shared" si="7"/>
        <v>0.03</v>
      </c>
      <c r="U44" s="255">
        <f t="shared" si="8"/>
        <v>0</v>
      </c>
      <c r="V44" s="256">
        <f t="shared" si="9"/>
        <v>0</v>
      </c>
    </row>
    <row r="45" spans="1:22" ht="15" thickBot="1">
      <c r="A45" s="314">
        <f t="shared" si="10"/>
        <v>2041</v>
      </c>
      <c r="B45" s="257">
        <f>$B$6*'Financial Assessment'!$B$45</f>
        <v>450</v>
      </c>
      <c r="C45" s="75">
        <f>$C$6*'Financial Assessment'!$B$45</f>
        <v>1500</v>
      </c>
      <c r="D45" s="258">
        <f t="shared" si="0"/>
        <v>0.03</v>
      </c>
      <c r="E45" s="257">
        <f>$E$6*'Financial Assessment'!$B$45</f>
        <v>322.332</v>
      </c>
      <c r="F45" s="70">
        <f>$F$6*'Financial Assessment'!$B$45</f>
        <v>996.1676999999999</v>
      </c>
      <c r="G45" s="70">
        <f>$G$6*'Financial Assessment'!$B$45</f>
        <v>994.6716</v>
      </c>
      <c r="H45" s="75">
        <f>$H$6*'Financial Assessment'!$B$45</f>
        <v>80.3652</v>
      </c>
      <c r="I45" s="258">
        <f t="shared" si="2"/>
        <v>0.030000000000000006</v>
      </c>
      <c r="K45" s="75">
        <f>$K$6*'Financial Assessment'!$B$45</f>
        <v>67.61789999999999</v>
      </c>
      <c r="L45" s="75">
        <f>$L$6*'Financial Assessment'!$B$45</f>
        <v>64.833</v>
      </c>
      <c r="M45" s="75">
        <f>$M$6*'Financial Assessment'!$B$45</f>
        <v>1403.5179</v>
      </c>
      <c r="N45" s="75">
        <f>$N$6*'Financial Assessment'!$B$45</f>
        <v>59.070299999999996</v>
      </c>
      <c r="O45" s="75">
        <f>$O$6*'Financial Assessment'!$B$45</f>
        <v>56.4048</v>
      </c>
      <c r="P45" s="75">
        <f>$P$6*'Financial Assessment'!$B$45</f>
        <v>53.543099999999995</v>
      </c>
      <c r="Q45" s="75">
        <f>$Q$6*'Financial Assessment'!$B$45</f>
        <v>50.3223</v>
      </c>
      <c r="R45" s="75">
        <f>$R$6*'Financial Assessment'!$B$45</f>
        <v>1996.4732999999999</v>
      </c>
      <c r="S45" s="75">
        <f t="shared" si="6"/>
        <v>0.0099</v>
      </c>
      <c r="T45" s="258">
        <f t="shared" si="7"/>
        <v>0.03</v>
      </c>
      <c r="U45" s="257">
        <f t="shared" si="8"/>
        <v>0</v>
      </c>
      <c r="V45" s="258">
        <f t="shared" si="9"/>
        <v>0</v>
      </c>
    </row>
  </sheetData>
  <printOptions gridLines="1" horizontalCentered="1" verticalCentered="1"/>
  <pageMargins left="0.75" right="0.75" top="1" bottom="1" header="0.5" footer="0.5"/>
  <pageSetup orientation="portrait" scale="70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403"/>
  <sheetViews>
    <sheetView workbookViewId="0" topLeftCell="A1">
      <pane xSplit="3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2" sqref="E12"/>
    </sheetView>
  </sheetViews>
  <sheetFormatPr defaultColWidth="9.140625" defaultRowHeight="12.75"/>
  <cols>
    <col min="1" max="1" width="31.421875" style="483" bestFit="1" customWidth="1"/>
    <col min="2" max="2" width="8.28125" style="483" bestFit="1" customWidth="1"/>
    <col min="3" max="3" width="9.00390625" style="483" bestFit="1" customWidth="1"/>
    <col min="4" max="4" width="0.9921875" style="483" hidden="1" customWidth="1"/>
    <col min="5" max="5" width="16.00390625" style="483" bestFit="1" customWidth="1"/>
    <col min="6" max="6" width="1.421875" style="483" customWidth="1"/>
    <col min="7" max="7" width="14.140625" style="483" customWidth="1"/>
    <col min="8" max="8" width="14.140625" style="483" bestFit="1" customWidth="1"/>
    <col min="9" max="16384" width="9.140625" style="483" customWidth="1"/>
  </cols>
  <sheetData>
    <row r="1" spans="1:8" ht="16.5" thickBot="1">
      <c r="A1" s="421" t="s">
        <v>0</v>
      </c>
      <c r="B1" s="406"/>
      <c r="C1" s="407"/>
      <c r="D1" s="433"/>
      <c r="E1" s="407"/>
      <c r="F1" s="407"/>
      <c r="G1" s="407"/>
      <c r="H1" s="408"/>
    </row>
    <row r="2" spans="1:8" ht="15.75" thickBot="1">
      <c r="A2" s="484"/>
      <c r="B2" s="485"/>
      <c r="C2" s="485"/>
      <c r="D2" s="486"/>
      <c r="E2" s="485"/>
      <c r="F2" s="485"/>
      <c r="G2" s="485"/>
      <c r="H2" s="487"/>
    </row>
    <row r="3" spans="1:8" ht="16.5" thickBot="1">
      <c r="A3" s="579"/>
      <c r="B3" s="580"/>
      <c r="C3" s="580"/>
      <c r="D3" s="580"/>
      <c r="E3" s="581" t="s">
        <v>348</v>
      </c>
      <c r="F3" s="582"/>
      <c r="G3" s="583" t="s">
        <v>341</v>
      </c>
      <c r="H3" s="584" t="s">
        <v>32</v>
      </c>
    </row>
    <row r="4" spans="1:8" ht="15">
      <c r="A4" s="140"/>
      <c r="D4" s="491"/>
      <c r="H4" s="492"/>
    </row>
    <row r="5" spans="1:8" ht="15">
      <c r="A5" s="140"/>
      <c r="B5" s="483" t="s">
        <v>285</v>
      </c>
      <c r="D5" s="491"/>
      <c r="E5" s="26">
        <v>52000</v>
      </c>
      <c r="G5" s="26">
        <v>26000</v>
      </c>
      <c r="H5" s="493">
        <v>26000</v>
      </c>
    </row>
    <row r="6" spans="1:8" ht="15">
      <c r="A6" s="140"/>
      <c r="B6" s="483" t="s">
        <v>278</v>
      </c>
      <c r="C6" s="494"/>
      <c r="D6" s="491"/>
      <c r="E6" s="26">
        <v>35000</v>
      </c>
      <c r="G6" s="26">
        <v>19500</v>
      </c>
      <c r="H6" s="493">
        <v>15500</v>
      </c>
    </row>
    <row r="7" spans="1:8" ht="15" hidden="1">
      <c r="A7" s="140"/>
      <c r="C7" s="483">
        <v>878076</v>
      </c>
      <c r="D7" s="491"/>
      <c r="E7" s="495"/>
      <c r="F7" s="491"/>
      <c r="G7" s="495"/>
      <c r="H7" s="496"/>
    </row>
    <row r="8" spans="1:8" ht="15">
      <c r="A8" s="140"/>
      <c r="D8" s="491"/>
      <c r="E8" s="26"/>
      <c r="G8" s="26"/>
      <c r="H8" s="493"/>
    </row>
    <row r="9" spans="1:8" ht="15">
      <c r="A9" s="140" t="s">
        <v>342</v>
      </c>
      <c r="B9" s="483" t="s">
        <v>285</v>
      </c>
      <c r="C9" s="497" t="s">
        <v>218</v>
      </c>
      <c r="D9" s="491"/>
      <c r="E9" s="26">
        <v>52000</v>
      </c>
      <c r="F9" s="26">
        <v>0</v>
      </c>
      <c r="G9" s="26">
        <v>26000</v>
      </c>
      <c r="H9" s="493">
        <v>26000</v>
      </c>
    </row>
    <row r="10" spans="1:8" ht="15">
      <c r="A10" s="140"/>
      <c r="B10" s="483" t="s">
        <v>278</v>
      </c>
      <c r="C10" s="497" t="s">
        <v>218</v>
      </c>
      <c r="D10" s="491"/>
      <c r="E10" s="26">
        <v>35000</v>
      </c>
      <c r="F10" s="26" t="e">
        <v>#REF!</v>
      </c>
      <c r="G10" s="26">
        <v>19500</v>
      </c>
      <c r="H10" s="493">
        <v>15500</v>
      </c>
    </row>
    <row r="11" spans="1:8" ht="15.75" thickBot="1">
      <c r="A11" s="140"/>
      <c r="C11" s="498"/>
      <c r="D11" s="491"/>
      <c r="E11" s="26"/>
      <c r="G11" s="26"/>
      <c r="H11" s="493"/>
    </row>
    <row r="12" spans="1:8" ht="16.5" thickBot="1">
      <c r="A12" s="499"/>
      <c r="B12" s="500"/>
      <c r="C12" s="501" t="s">
        <v>2</v>
      </c>
      <c r="D12" s="502"/>
      <c r="E12" s="503">
        <v>87000</v>
      </c>
      <c r="F12" s="500"/>
      <c r="G12" s="503">
        <v>45500</v>
      </c>
      <c r="H12" s="504">
        <v>41500</v>
      </c>
    </row>
    <row r="13" spans="1:8" ht="6.75" customHeight="1">
      <c r="A13" s="140"/>
      <c r="C13" s="497"/>
      <c r="D13" s="491"/>
      <c r="E13" s="26"/>
      <c r="G13" s="26"/>
      <c r="H13" s="493"/>
    </row>
    <row r="14" spans="1:8" ht="15">
      <c r="A14" s="140"/>
      <c r="C14" s="497"/>
      <c r="D14" s="491"/>
      <c r="E14" s="26"/>
      <c r="G14" s="26"/>
      <c r="H14" s="493"/>
    </row>
    <row r="15" spans="1:8" ht="15" hidden="1">
      <c r="A15" s="140" t="s">
        <v>343</v>
      </c>
      <c r="C15" s="497"/>
      <c r="D15" s="491"/>
      <c r="E15" s="26"/>
      <c r="G15" s="26"/>
      <c r="H15" s="493"/>
    </row>
    <row r="16" spans="1:8" ht="15">
      <c r="A16" s="140" t="s">
        <v>344</v>
      </c>
      <c r="D16" s="491"/>
      <c r="E16" s="26">
        <v>0</v>
      </c>
      <c r="F16" s="26" t="e">
        <v>#REF!</v>
      </c>
      <c r="G16" s="26">
        <v>0</v>
      </c>
      <c r="H16" s="493">
        <v>0</v>
      </c>
    </row>
    <row r="17" spans="1:8" ht="15">
      <c r="A17" s="140" t="s">
        <v>345</v>
      </c>
      <c r="D17" s="491"/>
      <c r="E17" s="26">
        <v>0</v>
      </c>
      <c r="F17" s="26" t="e">
        <v>#REF!</v>
      </c>
      <c r="G17" s="26">
        <v>0</v>
      </c>
      <c r="H17" s="493">
        <v>0</v>
      </c>
    </row>
    <row r="18" spans="1:8" ht="15">
      <c r="A18" s="140"/>
      <c r="D18" s="491"/>
      <c r="E18" s="505"/>
      <c r="G18" s="505"/>
      <c r="H18" s="506"/>
    </row>
    <row r="19" spans="1:8" ht="15">
      <c r="A19" s="141" t="s">
        <v>49</v>
      </c>
      <c r="B19" s="494" t="s">
        <v>285</v>
      </c>
      <c r="C19" s="497" t="s">
        <v>1</v>
      </c>
      <c r="D19" s="491"/>
      <c r="E19" s="26">
        <v>46000</v>
      </c>
      <c r="F19" s="26" t="e">
        <v>#REF!</v>
      </c>
      <c r="G19" s="26">
        <v>26000</v>
      </c>
      <c r="H19" s="493">
        <v>20000</v>
      </c>
    </row>
    <row r="20" spans="1:8" ht="15">
      <c r="A20" s="140"/>
      <c r="B20" s="483" t="s">
        <v>278</v>
      </c>
      <c r="C20" s="497" t="s">
        <v>1</v>
      </c>
      <c r="D20" s="491"/>
      <c r="E20" s="26">
        <v>24500</v>
      </c>
      <c r="F20" s="26" t="e">
        <v>#REF!</v>
      </c>
      <c r="G20" s="26">
        <v>15500</v>
      </c>
      <c r="H20" s="493">
        <v>9000</v>
      </c>
    </row>
    <row r="21" spans="1:8" ht="15.75" thickBot="1">
      <c r="A21" s="140"/>
      <c r="C21" s="498"/>
      <c r="D21" s="491"/>
      <c r="E21" s="26"/>
      <c r="G21" s="26"/>
      <c r="H21" s="493"/>
    </row>
    <row r="22" spans="1:8" ht="16.5" thickBot="1">
      <c r="A22" s="499" t="s">
        <v>346</v>
      </c>
      <c r="B22" s="500"/>
      <c r="C22" s="501" t="s">
        <v>2</v>
      </c>
      <c r="D22" s="502"/>
      <c r="E22" s="507">
        <v>70500</v>
      </c>
      <c r="F22" s="500"/>
      <c r="G22" s="508">
        <v>87000</v>
      </c>
      <c r="H22" s="504">
        <v>70500</v>
      </c>
    </row>
    <row r="23" spans="1:8" ht="15">
      <c r="A23" s="140"/>
      <c r="D23" s="491"/>
      <c r="H23" s="492"/>
    </row>
    <row r="24" spans="1:8" ht="15.75">
      <c r="A24" s="140" t="s">
        <v>1</v>
      </c>
      <c r="C24" s="509"/>
      <c r="D24" s="491"/>
      <c r="E24" s="26"/>
      <c r="G24" s="510" t="s">
        <v>347</v>
      </c>
      <c r="H24" s="511">
        <v>0.5523809523809524</v>
      </c>
    </row>
    <row r="25" spans="1:8" ht="15">
      <c r="A25" s="140"/>
      <c r="C25" s="509"/>
      <c r="D25" s="491"/>
      <c r="E25" s="26"/>
      <c r="G25" s="512"/>
      <c r="H25" s="513"/>
    </row>
    <row r="26" spans="1:8" ht="16.5" thickBot="1">
      <c r="A26" s="514" t="s">
        <v>311</v>
      </c>
      <c r="B26" s="490"/>
      <c r="C26" s="515"/>
      <c r="D26" s="489"/>
      <c r="E26" s="516">
        <v>157500</v>
      </c>
      <c r="F26" s="488"/>
      <c r="G26" s="517"/>
      <c r="H26" s="518"/>
    </row>
    <row r="27" spans="1:53" ht="15">
      <c r="A27" s="483" t="s">
        <v>1</v>
      </c>
      <c r="C27" s="509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</row>
    <row r="28" spans="3:53" ht="15">
      <c r="C28" s="509" t="s">
        <v>1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</row>
    <row r="29" spans="3:53" ht="15">
      <c r="C29" s="519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</row>
    <row r="30" spans="3:53" ht="15">
      <c r="C30" s="519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</row>
    <row r="31" spans="3:53" ht="15">
      <c r="C31" s="519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</row>
    <row r="32" spans="3:53" ht="15">
      <c r="C32" s="519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</row>
    <row r="33" spans="3:53" ht="15">
      <c r="C33" s="519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</row>
    <row r="34" spans="3:53" ht="15">
      <c r="C34" s="519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</row>
    <row r="35" spans="3:53" ht="15">
      <c r="C35" s="509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</row>
    <row r="36" spans="3:53" ht="15">
      <c r="C36" s="509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</row>
    <row r="37" spans="3:53" ht="15">
      <c r="C37" s="509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</row>
    <row r="38" spans="3:53" ht="15">
      <c r="C38" s="509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</row>
    <row r="39" spans="3:53" ht="15">
      <c r="C39" s="520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</row>
    <row r="40" spans="3:53" ht="15">
      <c r="C40" s="509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</row>
    <row r="41" spans="3:53" ht="15">
      <c r="C41" s="509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</row>
    <row r="42" spans="3:53" ht="15">
      <c r="C42" s="509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</row>
    <row r="43" spans="3:53" ht="15">
      <c r="C43" s="509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</row>
    <row r="44" spans="3:53" ht="15">
      <c r="C44" s="509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</row>
    <row r="45" spans="3:53" ht="15">
      <c r="C45" s="509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</row>
    <row r="46" spans="3:53" ht="15">
      <c r="C46" s="509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</row>
    <row r="47" spans="3:53" ht="15">
      <c r="C47" s="509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</row>
    <row r="48" spans="3:53" ht="15">
      <c r="C48" s="509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</row>
    <row r="49" spans="3:53" ht="15">
      <c r="C49" s="509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</row>
    <row r="50" spans="3:53" ht="15">
      <c r="C50" s="509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</row>
    <row r="51" spans="3:53" ht="15">
      <c r="C51" s="509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</row>
    <row r="52" spans="3:53" ht="15">
      <c r="C52" s="509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</row>
    <row r="53" spans="3:53" ht="15">
      <c r="C53" s="509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</row>
    <row r="54" spans="3:53" ht="15">
      <c r="C54" s="509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</row>
    <row r="55" spans="3:53" ht="15">
      <c r="C55" s="509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</row>
    <row r="56" spans="3:53" ht="15">
      <c r="C56" s="509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</row>
    <row r="57" spans="3:53" ht="15">
      <c r="C57" s="509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</row>
    <row r="58" spans="3:53" ht="15">
      <c r="C58" s="509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</row>
    <row r="59" spans="3:53" ht="15">
      <c r="C59" s="509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</row>
    <row r="60" spans="3:53" ht="15">
      <c r="C60" s="509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</row>
    <row r="61" spans="3:53" ht="15">
      <c r="C61" s="509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</row>
    <row r="62" spans="3:53" ht="15">
      <c r="C62" s="509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</row>
    <row r="63" spans="4:53" ht="15"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</row>
    <row r="64" spans="4:53" ht="15"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</row>
    <row r="65" spans="4:53" ht="15"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</row>
    <row r="66" spans="4:53" ht="15"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</row>
    <row r="67" spans="4:53" ht="15"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</row>
    <row r="68" spans="4:53" ht="15"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</row>
    <row r="69" spans="4:53" ht="15"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</row>
    <row r="70" spans="4:53" ht="15"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</row>
    <row r="71" spans="4:53" ht="15"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</row>
    <row r="72" spans="4:53" ht="15"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</row>
    <row r="73" spans="4:53" ht="15"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</row>
    <row r="74" spans="4:53" ht="15"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</row>
    <row r="75" spans="4:53" ht="15"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</row>
    <row r="76" spans="4:53" ht="15"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</row>
    <row r="77" spans="4:53" ht="15"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</row>
    <row r="78" spans="4:53" ht="15"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</row>
    <row r="79" spans="4:53" ht="15"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</row>
    <row r="80" spans="4:53" ht="15"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</row>
    <row r="81" spans="4:53" ht="15"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</row>
    <row r="82" spans="4:53" ht="15"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</row>
    <row r="83" spans="4:53" ht="15"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</row>
    <row r="84" spans="4:53" ht="15"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</row>
    <row r="85" spans="4:53" ht="15"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</row>
    <row r="86" spans="4:53" ht="15"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</row>
    <row r="87" spans="4:53" ht="15"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</row>
    <row r="88" spans="4:53" ht="15"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</row>
    <row r="89" spans="4:53" ht="15"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</row>
    <row r="90" spans="4:53" ht="15"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</row>
    <row r="91" spans="4:53" ht="15"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</row>
    <row r="92" spans="4:53" ht="15"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</row>
    <row r="93" spans="4:53" ht="15"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</row>
    <row r="94" spans="4:53" ht="15"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</row>
    <row r="95" spans="4:53" ht="15"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</row>
    <row r="96" spans="4:53" ht="15"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</row>
    <row r="97" spans="4:53" ht="15"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</row>
    <row r="98" spans="4:53" ht="15"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</row>
    <row r="99" spans="4:53" ht="15"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</row>
    <row r="100" spans="4:53" ht="15"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</row>
    <row r="101" spans="4:53" ht="15"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</row>
    <row r="102" spans="4:53" ht="15"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</row>
    <row r="103" spans="4:53" ht="15"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</row>
    <row r="104" spans="4:53" ht="15"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</row>
    <row r="105" spans="4:53" ht="15"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</row>
    <row r="106" spans="4:53" ht="15"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</row>
    <row r="107" spans="4:53" ht="15"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</row>
    <row r="108" spans="4:53" ht="15"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</row>
    <row r="109" spans="4:53" ht="15"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</row>
    <row r="110" spans="4:53" ht="15"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</row>
    <row r="111" spans="4:53" ht="15"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</row>
    <row r="112" spans="4:53" ht="15"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</row>
    <row r="113" spans="4:53" ht="15"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</row>
    <row r="114" spans="4:53" ht="15"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</row>
    <row r="115" spans="4:53" ht="15"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</row>
    <row r="116" spans="4:53" ht="15"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</row>
    <row r="117" spans="4:53" ht="15"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</row>
    <row r="118" spans="4:53" ht="15"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</row>
    <row r="119" spans="4:53" ht="15"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</row>
    <row r="120" spans="4:53" ht="15"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</row>
    <row r="121" spans="4:53" ht="15"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</row>
    <row r="122" spans="4:53" ht="15"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</row>
    <row r="123" spans="4:53" ht="15"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</row>
    <row r="124" spans="4:53" ht="15"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</row>
    <row r="125" spans="4:53" ht="15"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</row>
    <row r="126" spans="4:53" ht="15"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</row>
    <row r="127" spans="4:53" ht="15"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</row>
    <row r="128" spans="4:53" ht="15"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</row>
    <row r="129" spans="4:53" ht="15"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</row>
    <row r="130" spans="4:53" ht="15"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</row>
    <row r="131" spans="4:53" ht="15"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</row>
    <row r="132" spans="4:53" ht="15"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</row>
    <row r="133" spans="4:53" ht="15"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</row>
    <row r="134" spans="4:53" ht="15"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</row>
    <row r="135" spans="4:53" ht="15"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</row>
    <row r="136" spans="4:53" ht="15"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</row>
    <row r="137" spans="4:53" ht="15"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</row>
    <row r="138" spans="4:53" ht="15"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</row>
    <row r="139" spans="4:53" ht="15"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</row>
    <row r="140" spans="4:53" ht="15"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</row>
    <row r="141" spans="4:53" ht="15"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</row>
    <row r="142" spans="4:53" ht="15"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</row>
    <row r="143" spans="4:53" ht="15"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</row>
    <row r="144" spans="4:53" ht="15"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</row>
    <row r="145" spans="4:53" ht="15"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</row>
    <row r="146" spans="4:53" ht="15"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</row>
    <row r="147" spans="4:53" ht="15"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4"/>
      <c r="AZ147" s="174"/>
      <c r="BA147" s="174"/>
    </row>
    <row r="148" spans="4:53" ht="15"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4"/>
      <c r="BA148" s="174"/>
    </row>
    <row r="149" spans="4:53" ht="15"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174"/>
      <c r="AW149" s="174"/>
      <c r="AX149" s="174"/>
      <c r="AY149" s="174"/>
      <c r="AZ149" s="174"/>
      <c r="BA149" s="174"/>
    </row>
    <row r="150" spans="4:53" ht="15"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174"/>
      <c r="AW150" s="174"/>
      <c r="AX150" s="174"/>
      <c r="AY150" s="174"/>
      <c r="AZ150" s="174"/>
      <c r="BA150" s="174"/>
    </row>
    <row r="151" spans="4:53" ht="15"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174"/>
      <c r="AW151" s="174"/>
      <c r="AX151" s="174"/>
      <c r="AY151" s="174"/>
      <c r="AZ151" s="174"/>
      <c r="BA151" s="174"/>
    </row>
    <row r="152" spans="4:53" ht="15"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</row>
    <row r="153" spans="4:53" ht="15"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174"/>
      <c r="AW153" s="174"/>
      <c r="AX153" s="174"/>
      <c r="AY153" s="174"/>
      <c r="AZ153" s="174"/>
      <c r="BA153" s="174"/>
    </row>
    <row r="154" spans="4:53" ht="15"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</row>
    <row r="155" spans="4:53" ht="15"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</row>
    <row r="156" spans="4:53" ht="15"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</row>
    <row r="157" spans="4:53" ht="15"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</row>
    <row r="158" spans="4:53" ht="15"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</row>
    <row r="159" spans="4:53" ht="15"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</row>
    <row r="160" spans="4:53" ht="15"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</row>
    <row r="161" spans="4:53" ht="15"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</row>
    <row r="162" spans="4:53" ht="15"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</row>
    <row r="163" spans="4:53" ht="15"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</row>
    <row r="164" spans="4:53" ht="15"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174"/>
      <c r="AW164" s="174"/>
      <c r="AX164" s="174"/>
      <c r="AY164" s="174"/>
      <c r="AZ164" s="174"/>
      <c r="BA164" s="174"/>
    </row>
    <row r="165" spans="4:53" ht="15"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</row>
    <row r="166" spans="4:53" ht="15"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</row>
    <row r="167" spans="4:53" ht="15"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</row>
    <row r="168" spans="4:53" ht="15"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</row>
    <row r="169" spans="4:53" ht="15"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174"/>
      <c r="AW169" s="174"/>
      <c r="AX169" s="174"/>
      <c r="AY169" s="174"/>
      <c r="AZ169" s="174"/>
      <c r="BA169" s="174"/>
    </row>
    <row r="170" spans="4:53" ht="15"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</row>
    <row r="171" spans="4:53" ht="15"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4"/>
    </row>
    <row r="172" spans="4:53" ht="15"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</row>
    <row r="173" spans="4:53" ht="15"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</row>
    <row r="174" spans="4:53" ht="15"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74"/>
      <c r="AX174" s="174"/>
      <c r="AY174" s="174"/>
      <c r="AZ174" s="174"/>
      <c r="BA174" s="174"/>
    </row>
    <row r="175" spans="4:53" ht="15"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</row>
    <row r="176" spans="4:53" ht="15"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</row>
    <row r="177" spans="4:53" ht="15"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</row>
    <row r="178" spans="4:53" ht="15"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</row>
    <row r="179" spans="4:53" ht="15"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</row>
    <row r="180" spans="4:53" ht="15"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</row>
    <row r="181" spans="4:53" ht="15"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</row>
    <row r="182" spans="4:53" ht="15"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</row>
    <row r="183" spans="4:53" ht="15"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</row>
    <row r="184" spans="4:53" ht="15"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</row>
    <row r="185" spans="4:53" ht="15"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</row>
    <row r="186" spans="4:53" ht="15"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</row>
    <row r="187" spans="4:53" ht="15"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</row>
    <row r="188" spans="4:53" ht="15"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</row>
    <row r="189" spans="4:53" ht="15"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</row>
    <row r="190" spans="4:53" ht="15"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</row>
    <row r="191" spans="4:53" ht="15"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</row>
    <row r="192" spans="4:53" ht="15"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</row>
    <row r="193" spans="4:53" ht="15"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</row>
    <row r="194" spans="4:53" ht="15"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</row>
    <row r="195" spans="4:53" ht="15"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174"/>
      <c r="AW195" s="174"/>
      <c r="AX195" s="174"/>
      <c r="AY195" s="174"/>
      <c r="AZ195" s="174"/>
      <c r="BA195" s="174"/>
    </row>
    <row r="196" spans="4:53" ht="15"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174"/>
      <c r="AW196" s="174"/>
      <c r="AX196" s="174"/>
      <c r="AY196" s="174"/>
      <c r="AZ196" s="174"/>
      <c r="BA196" s="174"/>
    </row>
    <row r="197" spans="4:53" ht="15"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174"/>
      <c r="AW197" s="174"/>
      <c r="AX197" s="174"/>
      <c r="AY197" s="174"/>
      <c r="AZ197" s="174"/>
      <c r="BA197" s="174"/>
    </row>
    <row r="198" spans="4:53" ht="15"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</row>
    <row r="199" spans="4:53" ht="15"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</row>
    <row r="200" spans="4:53" ht="15"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174"/>
      <c r="AW200" s="174"/>
      <c r="AX200" s="174"/>
      <c r="AY200" s="174"/>
      <c r="AZ200" s="174"/>
      <c r="BA200" s="174"/>
    </row>
    <row r="201" spans="4:53" ht="15"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174"/>
      <c r="AW201" s="174"/>
      <c r="AX201" s="174"/>
      <c r="AY201" s="174"/>
      <c r="AZ201" s="174"/>
      <c r="BA201" s="174"/>
    </row>
    <row r="202" spans="4:53" ht="15"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174"/>
      <c r="AW202" s="174"/>
      <c r="AX202" s="174"/>
      <c r="AY202" s="174"/>
      <c r="AZ202" s="174"/>
      <c r="BA202" s="174"/>
    </row>
    <row r="203" spans="4:53" ht="15"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</row>
    <row r="204" spans="4:53" ht="15"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174"/>
      <c r="AW204" s="174"/>
      <c r="AX204" s="174"/>
      <c r="AY204" s="174"/>
      <c r="AZ204" s="174"/>
      <c r="BA204" s="174"/>
    </row>
    <row r="205" spans="4:53" ht="15"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174"/>
      <c r="AW205" s="174"/>
      <c r="AX205" s="174"/>
      <c r="AY205" s="174"/>
      <c r="AZ205" s="174"/>
      <c r="BA205" s="174"/>
    </row>
    <row r="206" spans="4:53" ht="15"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174"/>
      <c r="AW206" s="174"/>
      <c r="AX206" s="174"/>
      <c r="AY206" s="174"/>
      <c r="AZ206" s="174"/>
      <c r="BA206" s="174"/>
    </row>
    <row r="207" spans="4:53" ht="15"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174"/>
      <c r="AW207" s="174"/>
      <c r="AX207" s="174"/>
      <c r="AY207" s="174"/>
      <c r="AZ207" s="174"/>
      <c r="BA207" s="174"/>
    </row>
    <row r="208" spans="4:53" ht="15"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174"/>
      <c r="AW208" s="174"/>
      <c r="AX208" s="174"/>
      <c r="AY208" s="174"/>
      <c r="AZ208" s="174"/>
      <c r="BA208" s="174"/>
    </row>
    <row r="209" spans="4:53" ht="15"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</row>
    <row r="210" spans="4:53" ht="15"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</row>
    <row r="211" spans="4:53" ht="15"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</row>
    <row r="212" spans="4:53" ht="15"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</row>
    <row r="213" spans="4:53" ht="15"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</row>
    <row r="214" spans="4:53" ht="15"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74"/>
      <c r="AS214" s="174"/>
      <c r="AT214" s="174"/>
      <c r="AU214" s="174"/>
      <c r="AV214" s="174"/>
      <c r="AW214" s="174"/>
      <c r="AX214" s="174"/>
      <c r="AY214" s="174"/>
      <c r="AZ214" s="174"/>
      <c r="BA214" s="174"/>
    </row>
    <row r="215" spans="4:53" ht="15"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</row>
    <row r="216" spans="4:53" ht="15"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74"/>
      <c r="AS216" s="174"/>
      <c r="AT216" s="174"/>
      <c r="AU216" s="174"/>
      <c r="AV216" s="174"/>
      <c r="AW216" s="174"/>
      <c r="AX216" s="174"/>
      <c r="AY216" s="174"/>
      <c r="AZ216" s="174"/>
      <c r="BA216" s="174"/>
    </row>
    <row r="217" spans="4:53" ht="15"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  <c r="AX217" s="174"/>
      <c r="AY217" s="174"/>
      <c r="AZ217" s="174"/>
      <c r="BA217" s="174"/>
    </row>
    <row r="218" spans="4:53" ht="15"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</row>
    <row r="219" spans="4:53" ht="15"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74"/>
      <c r="AS219" s="174"/>
      <c r="AT219" s="174"/>
      <c r="AU219" s="174"/>
      <c r="AV219" s="174"/>
      <c r="AW219" s="174"/>
      <c r="AX219" s="174"/>
      <c r="AY219" s="174"/>
      <c r="AZ219" s="174"/>
      <c r="BA219" s="174"/>
    </row>
    <row r="220" spans="4:53" ht="15"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74"/>
      <c r="AS220" s="174"/>
      <c r="AT220" s="174"/>
      <c r="AU220" s="174"/>
      <c r="AV220" s="174"/>
      <c r="AW220" s="174"/>
      <c r="AX220" s="174"/>
      <c r="AY220" s="174"/>
      <c r="AZ220" s="174"/>
      <c r="BA220" s="174"/>
    </row>
    <row r="221" spans="4:53" ht="15"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74"/>
      <c r="AS221" s="174"/>
      <c r="AT221" s="174"/>
      <c r="AU221" s="174"/>
      <c r="AV221" s="174"/>
      <c r="AW221" s="174"/>
      <c r="AX221" s="174"/>
      <c r="AY221" s="174"/>
      <c r="AZ221" s="174"/>
      <c r="BA221" s="174"/>
    </row>
    <row r="222" spans="4:53" ht="15"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74"/>
      <c r="AS222" s="174"/>
      <c r="AT222" s="174"/>
      <c r="AU222" s="174"/>
      <c r="AV222" s="174"/>
      <c r="AW222" s="174"/>
      <c r="AX222" s="174"/>
      <c r="AY222" s="174"/>
      <c r="AZ222" s="174"/>
      <c r="BA222" s="174"/>
    </row>
    <row r="223" spans="4:53" ht="15"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  <c r="AV223" s="174"/>
      <c r="AW223" s="174"/>
      <c r="AX223" s="174"/>
      <c r="AY223" s="174"/>
      <c r="AZ223" s="174"/>
      <c r="BA223" s="174"/>
    </row>
    <row r="224" spans="4:53" ht="15"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74"/>
      <c r="AS224" s="174"/>
      <c r="AT224" s="174"/>
      <c r="AU224" s="174"/>
      <c r="AV224" s="174"/>
      <c r="AW224" s="174"/>
      <c r="AX224" s="174"/>
      <c r="AY224" s="174"/>
      <c r="AZ224" s="174"/>
      <c r="BA224" s="174"/>
    </row>
    <row r="225" spans="4:53" ht="15"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  <c r="AM225" s="174"/>
      <c r="AN225" s="174"/>
      <c r="AO225" s="174"/>
      <c r="AP225" s="174"/>
      <c r="AQ225" s="174"/>
      <c r="AR225" s="174"/>
      <c r="AS225" s="174"/>
      <c r="AT225" s="174"/>
      <c r="AU225" s="174"/>
      <c r="AV225" s="174"/>
      <c r="AW225" s="174"/>
      <c r="AX225" s="174"/>
      <c r="AY225" s="174"/>
      <c r="AZ225" s="174"/>
      <c r="BA225" s="174"/>
    </row>
    <row r="226" spans="4:53" ht="15"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</row>
    <row r="227" spans="4:53" ht="15"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74"/>
      <c r="AS227" s="174"/>
      <c r="AT227" s="174"/>
      <c r="AU227" s="174"/>
      <c r="AV227" s="174"/>
      <c r="AW227" s="174"/>
      <c r="AX227" s="174"/>
      <c r="AY227" s="174"/>
      <c r="AZ227" s="174"/>
      <c r="BA227" s="174"/>
    </row>
    <row r="228" spans="4:53" ht="15"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74"/>
      <c r="AS228" s="174"/>
      <c r="AT228" s="174"/>
      <c r="AU228" s="174"/>
      <c r="AV228" s="174"/>
      <c r="AW228" s="174"/>
      <c r="AX228" s="174"/>
      <c r="AY228" s="174"/>
      <c r="AZ228" s="174"/>
      <c r="BA228" s="174"/>
    </row>
    <row r="229" spans="4:53" ht="15"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174"/>
      <c r="AZ229" s="174"/>
      <c r="BA229" s="174"/>
    </row>
    <row r="230" spans="4:53" ht="15"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</row>
    <row r="231" spans="4:53" ht="15"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4"/>
    </row>
    <row r="232" spans="4:53" ht="15"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74"/>
      <c r="AY232" s="174"/>
      <c r="AZ232" s="174"/>
      <c r="BA232" s="174"/>
    </row>
    <row r="233" spans="4:53" ht="15"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174"/>
      <c r="AX233" s="174"/>
      <c r="AY233" s="174"/>
      <c r="AZ233" s="174"/>
      <c r="BA233" s="174"/>
    </row>
    <row r="234" spans="4:53" ht="15"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</row>
    <row r="235" spans="4:53" ht="15"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174"/>
      <c r="AX235" s="174"/>
      <c r="AY235" s="174"/>
      <c r="AZ235" s="174"/>
      <c r="BA235" s="174"/>
    </row>
    <row r="236" spans="4:53" ht="15"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74"/>
      <c r="AZ236" s="174"/>
      <c r="BA236" s="174"/>
    </row>
    <row r="237" spans="4:53" ht="15"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74"/>
      <c r="AS237" s="174"/>
      <c r="AT237" s="174"/>
      <c r="AU237" s="174"/>
      <c r="AV237" s="174"/>
      <c r="AW237" s="174"/>
      <c r="AX237" s="174"/>
      <c r="AY237" s="174"/>
      <c r="AZ237" s="174"/>
      <c r="BA237" s="174"/>
    </row>
    <row r="238" spans="4:53" ht="15"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/>
      <c r="BA238" s="174"/>
    </row>
    <row r="239" spans="4:53" ht="15"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  <c r="AB239" s="174"/>
      <c r="AC239" s="174"/>
      <c r="AD239" s="174"/>
      <c r="AE239" s="174"/>
      <c r="AF239" s="174"/>
      <c r="AG239" s="174"/>
      <c r="AH239" s="174"/>
      <c r="AI239" s="174"/>
      <c r="AJ239" s="174"/>
      <c r="AK239" s="174"/>
      <c r="AL239" s="174"/>
      <c r="AM239" s="174"/>
      <c r="AN239" s="174"/>
      <c r="AO239" s="174"/>
      <c r="AP239" s="174"/>
      <c r="AQ239" s="174"/>
      <c r="AR239" s="174"/>
      <c r="AS239" s="174"/>
      <c r="AT239" s="174"/>
      <c r="AU239" s="174"/>
      <c r="AV239" s="174"/>
      <c r="AW239" s="174"/>
      <c r="AX239" s="174"/>
      <c r="AY239" s="174"/>
      <c r="AZ239" s="174"/>
      <c r="BA239" s="174"/>
    </row>
    <row r="240" spans="4:53" ht="15"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174"/>
      <c r="AZ240" s="174"/>
      <c r="BA240" s="174"/>
    </row>
    <row r="241" spans="4:53" ht="15"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  <c r="AR241" s="174"/>
      <c r="AS241" s="174"/>
      <c r="AT241" s="174"/>
      <c r="AU241" s="174"/>
      <c r="AV241" s="174"/>
      <c r="AW241" s="174"/>
      <c r="AX241" s="174"/>
      <c r="AY241" s="174"/>
      <c r="AZ241" s="174"/>
      <c r="BA241" s="174"/>
    </row>
    <row r="242" spans="4:53" ht="15"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174"/>
      <c r="AZ242" s="174"/>
      <c r="BA242" s="174"/>
    </row>
    <row r="243" spans="4:53" ht="15"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74"/>
      <c r="AS243" s="174"/>
      <c r="AT243" s="174"/>
      <c r="AU243" s="174"/>
      <c r="AV243" s="174"/>
      <c r="AW243" s="174"/>
      <c r="AX243" s="174"/>
      <c r="AY243" s="174"/>
      <c r="AZ243" s="174"/>
      <c r="BA243" s="174"/>
    </row>
    <row r="244" spans="4:53" ht="15"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74"/>
      <c r="AS244" s="174"/>
      <c r="AT244" s="174"/>
      <c r="AU244" s="174"/>
      <c r="AV244" s="174"/>
      <c r="AW244" s="174"/>
      <c r="AX244" s="174"/>
      <c r="AY244" s="174"/>
      <c r="AZ244" s="174"/>
      <c r="BA244" s="174"/>
    </row>
    <row r="245" spans="4:53" ht="15"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  <c r="AL245" s="174"/>
      <c r="AM245" s="174"/>
      <c r="AN245" s="174"/>
      <c r="AO245" s="174"/>
      <c r="AP245" s="174"/>
      <c r="AQ245" s="174"/>
      <c r="AR245" s="174"/>
      <c r="AS245" s="174"/>
      <c r="AT245" s="174"/>
      <c r="AU245" s="174"/>
      <c r="AV245" s="174"/>
      <c r="AW245" s="174"/>
      <c r="AX245" s="174"/>
      <c r="AY245" s="174"/>
      <c r="AZ245" s="174"/>
      <c r="BA245" s="174"/>
    </row>
    <row r="246" spans="4:53" ht="15"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4"/>
      <c r="AT246" s="174"/>
      <c r="AU246" s="174"/>
      <c r="AV246" s="174"/>
      <c r="AW246" s="174"/>
      <c r="AX246" s="174"/>
      <c r="AY246" s="174"/>
      <c r="AZ246" s="174"/>
      <c r="BA246" s="174"/>
    </row>
    <row r="247" spans="4:53" ht="15"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</row>
    <row r="248" spans="4:53" ht="15"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</row>
    <row r="249" spans="4:53" ht="15"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</row>
    <row r="250" spans="4:53" ht="15"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</row>
    <row r="251" spans="4:53" ht="15"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</row>
    <row r="252" spans="4:53" ht="15"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</row>
    <row r="253" spans="4:53" ht="15"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</row>
    <row r="254" spans="4:53" ht="15"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</row>
    <row r="255" spans="4:53" ht="15"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</row>
    <row r="256" spans="4:53" ht="15"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</row>
    <row r="257" spans="4:53" ht="15"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74"/>
      <c r="AS257" s="174"/>
      <c r="AT257" s="174"/>
      <c r="AU257" s="174"/>
      <c r="AV257" s="174"/>
      <c r="AW257" s="174"/>
      <c r="AX257" s="174"/>
      <c r="AY257" s="174"/>
      <c r="AZ257" s="174"/>
      <c r="BA257" s="174"/>
    </row>
    <row r="258" spans="4:53" ht="15"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174"/>
      <c r="AX258" s="174"/>
      <c r="AY258" s="174"/>
      <c r="AZ258" s="174"/>
      <c r="BA258" s="174"/>
    </row>
    <row r="259" spans="4:53" ht="15"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4"/>
      <c r="AT259" s="174"/>
      <c r="AU259" s="174"/>
      <c r="AV259" s="174"/>
      <c r="AW259" s="174"/>
      <c r="AX259" s="174"/>
      <c r="AY259" s="174"/>
      <c r="AZ259" s="174"/>
      <c r="BA259" s="174"/>
    </row>
    <row r="260" spans="4:53" ht="15"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174"/>
      <c r="AX260" s="174"/>
      <c r="AY260" s="174"/>
      <c r="AZ260" s="174"/>
      <c r="BA260" s="174"/>
    </row>
    <row r="261" spans="4:53" ht="15"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4"/>
      <c r="AT261" s="174"/>
      <c r="AU261" s="174"/>
      <c r="AV261" s="174"/>
      <c r="AW261" s="174"/>
      <c r="AX261" s="174"/>
      <c r="AY261" s="174"/>
      <c r="AZ261" s="174"/>
      <c r="BA261" s="174"/>
    </row>
    <row r="262" spans="4:53" ht="15"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4"/>
      <c r="BA262" s="174"/>
    </row>
    <row r="263" spans="4:53" ht="15"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/>
      <c r="AS263" s="174"/>
      <c r="AT263" s="174"/>
      <c r="AU263" s="174"/>
      <c r="AV263" s="174"/>
      <c r="AW263" s="174"/>
      <c r="AX263" s="174"/>
      <c r="AY263" s="174"/>
      <c r="AZ263" s="174"/>
      <c r="BA263" s="174"/>
    </row>
    <row r="264" spans="4:53" ht="15"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74"/>
      <c r="AS264" s="174"/>
      <c r="AT264" s="174"/>
      <c r="AU264" s="174"/>
      <c r="AV264" s="174"/>
      <c r="AW264" s="174"/>
      <c r="AX264" s="174"/>
      <c r="AY264" s="174"/>
      <c r="AZ264" s="174"/>
      <c r="BA264" s="174"/>
    </row>
    <row r="265" spans="4:53" ht="15"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74"/>
      <c r="AS265" s="174"/>
      <c r="AT265" s="174"/>
      <c r="AU265" s="174"/>
      <c r="AV265" s="174"/>
      <c r="AW265" s="174"/>
      <c r="AX265" s="174"/>
      <c r="AY265" s="174"/>
      <c r="AZ265" s="174"/>
      <c r="BA265" s="174"/>
    </row>
    <row r="266" spans="4:53" ht="15"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174"/>
      <c r="AL266" s="174"/>
      <c r="AM266" s="174"/>
      <c r="AN266" s="174"/>
      <c r="AO266" s="174"/>
      <c r="AP266" s="174"/>
      <c r="AQ266" s="174"/>
      <c r="AR266" s="174"/>
      <c r="AS266" s="174"/>
      <c r="AT266" s="174"/>
      <c r="AU266" s="174"/>
      <c r="AV266" s="174"/>
      <c r="AW266" s="174"/>
      <c r="AX266" s="174"/>
      <c r="AY266" s="174"/>
      <c r="AZ266" s="174"/>
      <c r="BA266" s="174"/>
    </row>
    <row r="267" spans="4:53" ht="15"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  <c r="AL267" s="174"/>
      <c r="AM267" s="174"/>
      <c r="AN267" s="174"/>
      <c r="AO267" s="174"/>
      <c r="AP267" s="174"/>
      <c r="AQ267" s="174"/>
      <c r="AR267" s="174"/>
      <c r="AS267" s="174"/>
      <c r="AT267" s="174"/>
      <c r="AU267" s="174"/>
      <c r="AV267" s="174"/>
      <c r="AW267" s="174"/>
      <c r="AX267" s="174"/>
      <c r="AY267" s="174"/>
      <c r="AZ267" s="174"/>
      <c r="BA267" s="174"/>
    </row>
    <row r="268" spans="4:53" ht="15"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</row>
    <row r="269" spans="4:53" ht="15"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</row>
    <row r="270" spans="4:53" ht="15"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74"/>
      <c r="AR270" s="174"/>
      <c r="AS270" s="174"/>
      <c r="AT270" s="174"/>
      <c r="AU270" s="174"/>
      <c r="AV270" s="174"/>
      <c r="AW270" s="174"/>
      <c r="AX270" s="174"/>
      <c r="AY270" s="174"/>
      <c r="AZ270" s="174"/>
      <c r="BA270" s="174"/>
    </row>
    <row r="271" spans="4:53" ht="15"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/>
      <c r="AQ271" s="174"/>
      <c r="AR271" s="174"/>
      <c r="AS271" s="174"/>
      <c r="AT271" s="174"/>
      <c r="AU271" s="174"/>
      <c r="AV271" s="174"/>
      <c r="AW271" s="174"/>
      <c r="AX271" s="174"/>
      <c r="AY271" s="174"/>
      <c r="AZ271" s="174"/>
      <c r="BA271" s="174"/>
    </row>
    <row r="272" spans="4:53" ht="15"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74"/>
      <c r="AS272" s="174"/>
      <c r="AT272" s="174"/>
      <c r="AU272" s="174"/>
      <c r="AV272" s="174"/>
      <c r="AW272" s="174"/>
      <c r="AX272" s="174"/>
      <c r="AY272" s="174"/>
      <c r="AZ272" s="174"/>
      <c r="BA272" s="174"/>
    </row>
    <row r="273" spans="4:53" ht="15"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</row>
    <row r="274" spans="4:53" ht="15"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4"/>
      <c r="AN274" s="174"/>
      <c r="AO274" s="174"/>
      <c r="AP274" s="174"/>
      <c r="AQ274" s="174"/>
      <c r="AR274" s="174"/>
      <c r="AS274" s="174"/>
      <c r="AT274" s="174"/>
      <c r="AU274" s="174"/>
      <c r="AV274" s="174"/>
      <c r="AW274" s="174"/>
      <c r="AX274" s="174"/>
      <c r="AY274" s="174"/>
      <c r="AZ274" s="174"/>
      <c r="BA274" s="174"/>
    </row>
    <row r="275" spans="4:53" ht="15"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  <c r="AM275" s="174"/>
      <c r="AN275" s="174"/>
      <c r="AO275" s="174"/>
      <c r="AP275" s="174"/>
      <c r="AQ275" s="174"/>
      <c r="AR275" s="174"/>
      <c r="AS275" s="174"/>
      <c r="AT275" s="174"/>
      <c r="AU275" s="174"/>
      <c r="AV275" s="174"/>
      <c r="AW275" s="174"/>
      <c r="AX275" s="174"/>
      <c r="AY275" s="174"/>
      <c r="AZ275" s="174"/>
      <c r="BA275" s="174"/>
    </row>
    <row r="276" spans="4:53" ht="15"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74"/>
      <c r="AR276" s="174"/>
      <c r="AS276" s="174"/>
      <c r="AT276" s="174"/>
      <c r="AU276" s="174"/>
      <c r="AV276" s="174"/>
      <c r="AW276" s="174"/>
      <c r="AX276" s="174"/>
      <c r="AY276" s="174"/>
      <c r="AZ276" s="174"/>
      <c r="BA276" s="174"/>
    </row>
    <row r="277" spans="4:53" ht="15"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  <c r="AM277" s="174"/>
      <c r="AN277" s="174"/>
      <c r="AO277" s="174"/>
      <c r="AP277" s="174"/>
      <c r="AQ277" s="174"/>
      <c r="AR277" s="174"/>
      <c r="AS277" s="174"/>
      <c r="AT277" s="174"/>
      <c r="AU277" s="174"/>
      <c r="AV277" s="174"/>
      <c r="AW277" s="174"/>
      <c r="AX277" s="174"/>
      <c r="AY277" s="174"/>
      <c r="AZ277" s="174"/>
      <c r="BA277" s="174"/>
    </row>
    <row r="278" spans="4:53" ht="15"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  <c r="AM278" s="174"/>
      <c r="AN278" s="174"/>
      <c r="AO278" s="174"/>
      <c r="AP278" s="174"/>
      <c r="AQ278" s="174"/>
      <c r="AR278" s="174"/>
      <c r="AS278" s="174"/>
      <c r="AT278" s="174"/>
      <c r="AU278" s="174"/>
      <c r="AV278" s="174"/>
      <c r="AW278" s="174"/>
      <c r="AX278" s="174"/>
      <c r="AY278" s="174"/>
      <c r="AZ278" s="174"/>
      <c r="BA278" s="174"/>
    </row>
    <row r="279" spans="4:53" ht="15"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4"/>
      <c r="BA279" s="174"/>
    </row>
    <row r="280" spans="4:53" ht="15"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4"/>
      <c r="BA280" s="174"/>
    </row>
    <row r="281" spans="4:53" ht="15"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  <c r="AL281" s="174"/>
      <c r="AM281" s="174"/>
      <c r="AN281" s="174"/>
      <c r="AO281" s="174"/>
      <c r="AP281" s="174"/>
      <c r="AQ281" s="174"/>
      <c r="AR281" s="174"/>
      <c r="AS281" s="174"/>
      <c r="AT281" s="174"/>
      <c r="AU281" s="174"/>
      <c r="AV281" s="174"/>
      <c r="AW281" s="174"/>
      <c r="AX281" s="174"/>
      <c r="AY281" s="174"/>
      <c r="AZ281" s="174"/>
      <c r="BA281" s="174"/>
    </row>
    <row r="282" spans="4:53" ht="15"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74"/>
      <c r="AS282" s="174"/>
      <c r="AT282" s="174"/>
      <c r="AU282" s="174"/>
      <c r="AV282" s="174"/>
      <c r="AW282" s="174"/>
      <c r="AX282" s="174"/>
      <c r="AY282" s="174"/>
      <c r="AZ282" s="174"/>
      <c r="BA282" s="174"/>
    </row>
    <row r="283" spans="4:53" ht="15"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4"/>
      <c r="AO283" s="174"/>
      <c r="AP283" s="174"/>
      <c r="AQ283" s="174"/>
      <c r="AR283" s="174"/>
      <c r="AS283" s="174"/>
      <c r="AT283" s="174"/>
      <c r="AU283" s="174"/>
      <c r="AV283" s="174"/>
      <c r="AW283" s="174"/>
      <c r="AX283" s="174"/>
      <c r="AY283" s="174"/>
      <c r="AZ283" s="174"/>
      <c r="BA283" s="174"/>
    </row>
    <row r="284" spans="4:53" ht="15"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4"/>
      <c r="AO284" s="174"/>
      <c r="AP284" s="174"/>
      <c r="AQ284" s="174"/>
      <c r="AR284" s="174"/>
      <c r="AS284" s="174"/>
      <c r="AT284" s="174"/>
      <c r="AU284" s="174"/>
      <c r="AV284" s="174"/>
      <c r="AW284" s="174"/>
      <c r="AX284" s="174"/>
      <c r="AY284" s="174"/>
      <c r="AZ284" s="174"/>
      <c r="BA284" s="174"/>
    </row>
    <row r="285" spans="4:53" ht="15"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  <c r="AL285" s="174"/>
      <c r="AM285" s="174"/>
      <c r="AN285" s="174"/>
      <c r="AO285" s="174"/>
      <c r="AP285" s="174"/>
      <c r="AQ285" s="174"/>
      <c r="AR285" s="174"/>
      <c r="AS285" s="174"/>
      <c r="AT285" s="174"/>
      <c r="AU285" s="174"/>
      <c r="AV285" s="174"/>
      <c r="AW285" s="174"/>
      <c r="AX285" s="174"/>
      <c r="AY285" s="174"/>
      <c r="AZ285" s="174"/>
      <c r="BA285" s="174"/>
    </row>
    <row r="286" spans="4:53" ht="15"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  <c r="AM286" s="174"/>
      <c r="AN286" s="174"/>
      <c r="AO286" s="174"/>
      <c r="AP286" s="174"/>
      <c r="AQ286" s="174"/>
      <c r="AR286" s="174"/>
      <c r="AS286" s="174"/>
      <c r="AT286" s="174"/>
      <c r="AU286" s="174"/>
      <c r="AV286" s="174"/>
      <c r="AW286" s="174"/>
      <c r="AX286" s="174"/>
      <c r="AY286" s="174"/>
      <c r="AZ286" s="174"/>
      <c r="BA286" s="174"/>
    </row>
    <row r="287" spans="4:53" ht="15"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174"/>
      <c r="AL287" s="174"/>
      <c r="AM287" s="174"/>
      <c r="AN287" s="174"/>
      <c r="AO287" s="174"/>
      <c r="AP287" s="174"/>
      <c r="AQ287" s="174"/>
      <c r="AR287" s="174"/>
      <c r="AS287" s="174"/>
      <c r="AT287" s="174"/>
      <c r="AU287" s="174"/>
      <c r="AV287" s="174"/>
      <c r="AW287" s="174"/>
      <c r="AX287" s="174"/>
      <c r="AY287" s="174"/>
      <c r="AZ287" s="174"/>
      <c r="BA287" s="174"/>
    </row>
    <row r="288" spans="4:53" ht="15"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174"/>
      <c r="AL288" s="174"/>
      <c r="AM288" s="174"/>
      <c r="AN288" s="174"/>
      <c r="AO288" s="174"/>
      <c r="AP288" s="174"/>
      <c r="AQ288" s="174"/>
      <c r="AR288" s="174"/>
      <c r="AS288" s="174"/>
      <c r="AT288" s="174"/>
      <c r="AU288" s="174"/>
      <c r="AV288" s="174"/>
      <c r="AW288" s="174"/>
      <c r="AX288" s="174"/>
      <c r="AY288" s="174"/>
      <c r="AZ288" s="174"/>
      <c r="BA288" s="174"/>
    </row>
    <row r="289" spans="4:53" ht="15"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174"/>
      <c r="AL289" s="174"/>
      <c r="AM289" s="174"/>
      <c r="AN289" s="174"/>
      <c r="AO289" s="174"/>
      <c r="AP289" s="174"/>
      <c r="AQ289" s="174"/>
      <c r="AR289" s="174"/>
      <c r="AS289" s="174"/>
      <c r="AT289" s="174"/>
      <c r="AU289" s="174"/>
      <c r="AV289" s="174"/>
      <c r="AW289" s="174"/>
      <c r="AX289" s="174"/>
      <c r="AY289" s="174"/>
      <c r="AZ289" s="174"/>
      <c r="BA289" s="174"/>
    </row>
    <row r="290" spans="4:53" ht="15"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  <c r="AM290" s="174"/>
      <c r="AN290" s="174"/>
      <c r="AO290" s="174"/>
      <c r="AP290" s="174"/>
      <c r="AQ290" s="174"/>
      <c r="AR290" s="174"/>
      <c r="AS290" s="174"/>
      <c r="AT290" s="174"/>
      <c r="AU290" s="174"/>
      <c r="AV290" s="174"/>
      <c r="AW290" s="174"/>
      <c r="AX290" s="174"/>
      <c r="AY290" s="174"/>
      <c r="AZ290" s="174"/>
      <c r="BA290" s="174"/>
    </row>
    <row r="291" spans="4:53" ht="15"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74"/>
      <c r="AS291" s="174"/>
      <c r="AT291" s="174"/>
      <c r="AU291" s="174"/>
      <c r="AV291" s="174"/>
      <c r="AW291" s="174"/>
      <c r="AX291" s="174"/>
      <c r="AY291" s="174"/>
      <c r="AZ291" s="174"/>
      <c r="BA291" s="174"/>
    </row>
    <row r="292" spans="4:53" ht="15"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  <c r="AM292" s="174"/>
      <c r="AN292" s="174"/>
      <c r="AO292" s="174"/>
      <c r="AP292" s="174"/>
      <c r="AQ292" s="174"/>
      <c r="AR292" s="174"/>
      <c r="AS292" s="174"/>
      <c r="AT292" s="174"/>
      <c r="AU292" s="174"/>
      <c r="AV292" s="174"/>
      <c r="AW292" s="174"/>
      <c r="AX292" s="174"/>
      <c r="AY292" s="174"/>
      <c r="AZ292" s="174"/>
      <c r="BA292" s="174"/>
    </row>
    <row r="293" spans="4:53" ht="15"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174"/>
      <c r="AL293" s="174"/>
      <c r="AM293" s="174"/>
      <c r="AN293" s="174"/>
      <c r="AO293" s="174"/>
      <c r="AP293" s="174"/>
      <c r="AQ293" s="174"/>
      <c r="AR293" s="174"/>
      <c r="AS293" s="174"/>
      <c r="AT293" s="174"/>
      <c r="AU293" s="174"/>
      <c r="AV293" s="174"/>
      <c r="AW293" s="174"/>
      <c r="AX293" s="174"/>
      <c r="AY293" s="174"/>
      <c r="AZ293" s="174"/>
      <c r="BA293" s="174"/>
    </row>
    <row r="294" spans="4:53" ht="15"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  <c r="AL294" s="174"/>
      <c r="AM294" s="174"/>
      <c r="AN294" s="174"/>
      <c r="AO294" s="174"/>
      <c r="AP294" s="174"/>
      <c r="AQ294" s="174"/>
      <c r="AR294" s="174"/>
      <c r="AS294" s="174"/>
      <c r="AT294" s="174"/>
      <c r="AU294" s="174"/>
      <c r="AV294" s="174"/>
      <c r="AW294" s="174"/>
      <c r="AX294" s="174"/>
      <c r="AY294" s="174"/>
      <c r="AZ294" s="174"/>
      <c r="BA294" s="174"/>
    </row>
    <row r="295" spans="4:53" ht="15"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  <c r="AB295" s="174"/>
      <c r="AC295" s="174"/>
      <c r="AD295" s="174"/>
      <c r="AE295" s="174"/>
      <c r="AF295" s="174"/>
      <c r="AG295" s="174"/>
      <c r="AH295" s="174"/>
      <c r="AI295" s="174"/>
      <c r="AJ295" s="174"/>
      <c r="AK295" s="174"/>
      <c r="AL295" s="174"/>
      <c r="AM295" s="174"/>
      <c r="AN295" s="174"/>
      <c r="AO295" s="174"/>
      <c r="AP295" s="174"/>
      <c r="AQ295" s="174"/>
      <c r="AR295" s="174"/>
      <c r="AS295" s="174"/>
      <c r="AT295" s="174"/>
      <c r="AU295" s="174"/>
      <c r="AV295" s="174"/>
      <c r="AW295" s="174"/>
      <c r="AX295" s="174"/>
      <c r="AY295" s="174"/>
      <c r="AZ295" s="174"/>
      <c r="BA295" s="174"/>
    </row>
    <row r="296" spans="4:53" ht="15"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  <c r="AL296" s="174"/>
      <c r="AM296" s="174"/>
      <c r="AN296" s="174"/>
      <c r="AO296" s="174"/>
      <c r="AP296" s="174"/>
      <c r="AQ296" s="174"/>
      <c r="AR296" s="174"/>
      <c r="AS296" s="174"/>
      <c r="AT296" s="174"/>
      <c r="AU296" s="174"/>
      <c r="AV296" s="174"/>
      <c r="AW296" s="174"/>
      <c r="AX296" s="174"/>
      <c r="AY296" s="174"/>
      <c r="AZ296" s="174"/>
      <c r="BA296" s="174"/>
    </row>
    <row r="297" spans="4:53" ht="15"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  <c r="AL297" s="174"/>
      <c r="AM297" s="174"/>
      <c r="AN297" s="174"/>
      <c r="AO297" s="174"/>
      <c r="AP297" s="174"/>
      <c r="AQ297" s="174"/>
      <c r="AR297" s="174"/>
      <c r="AS297" s="174"/>
      <c r="AT297" s="174"/>
      <c r="AU297" s="174"/>
      <c r="AV297" s="174"/>
      <c r="AW297" s="174"/>
      <c r="AX297" s="174"/>
      <c r="AY297" s="174"/>
      <c r="AZ297" s="174"/>
      <c r="BA297" s="174"/>
    </row>
    <row r="298" spans="4:53" ht="15"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  <c r="AB298" s="174"/>
      <c r="AC298" s="174"/>
      <c r="AD298" s="174"/>
      <c r="AE298" s="174"/>
      <c r="AF298" s="174"/>
      <c r="AG298" s="174"/>
      <c r="AH298" s="174"/>
      <c r="AI298" s="174"/>
      <c r="AJ298" s="174"/>
      <c r="AK298" s="174"/>
      <c r="AL298" s="174"/>
      <c r="AM298" s="174"/>
      <c r="AN298" s="174"/>
      <c r="AO298" s="174"/>
      <c r="AP298" s="174"/>
      <c r="AQ298" s="174"/>
      <c r="AR298" s="174"/>
      <c r="AS298" s="174"/>
      <c r="AT298" s="174"/>
      <c r="AU298" s="174"/>
      <c r="AV298" s="174"/>
      <c r="AW298" s="174"/>
      <c r="AX298" s="174"/>
      <c r="AY298" s="174"/>
      <c r="AZ298" s="174"/>
      <c r="BA298" s="174"/>
    </row>
    <row r="299" spans="4:53" ht="15"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174"/>
      <c r="AG299" s="174"/>
      <c r="AH299" s="174"/>
      <c r="AI299" s="174"/>
      <c r="AJ299" s="174"/>
      <c r="AK299" s="174"/>
      <c r="AL299" s="174"/>
      <c r="AM299" s="174"/>
      <c r="AN299" s="174"/>
      <c r="AO299" s="174"/>
      <c r="AP299" s="174"/>
      <c r="AQ299" s="174"/>
      <c r="AR299" s="174"/>
      <c r="AS299" s="174"/>
      <c r="AT299" s="174"/>
      <c r="AU299" s="174"/>
      <c r="AV299" s="174"/>
      <c r="AW299" s="174"/>
      <c r="AX299" s="174"/>
      <c r="AY299" s="174"/>
      <c r="AZ299" s="174"/>
      <c r="BA299" s="174"/>
    </row>
    <row r="300" spans="4:53" ht="15"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174"/>
      <c r="AL300" s="174"/>
      <c r="AM300" s="174"/>
      <c r="AN300" s="174"/>
      <c r="AO300" s="174"/>
      <c r="AP300" s="174"/>
      <c r="AQ300" s="174"/>
      <c r="AR300" s="174"/>
      <c r="AS300" s="174"/>
      <c r="AT300" s="174"/>
      <c r="AU300" s="174"/>
      <c r="AV300" s="174"/>
      <c r="AW300" s="174"/>
      <c r="AX300" s="174"/>
      <c r="AY300" s="174"/>
      <c r="AZ300" s="174"/>
      <c r="BA300" s="174"/>
    </row>
    <row r="301" spans="4:53" ht="15"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174"/>
      <c r="AL301" s="174"/>
      <c r="AM301" s="174"/>
      <c r="AN301" s="174"/>
      <c r="AO301" s="174"/>
      <c r="AP301" s="174"/>
      <c r="AQ301" s="174"/>
      <c r="AR301" s="174"/>
      <c r="AS301" s="174"/>
      <c r="AT301" s="174"/>
      <c r="AU301" s="174"/>
      <c r="AV301" s="174"/>
      <c r="AW301" s="174"/>
      <c r="AX301" s="174"/>
      <c r="AY301" s="174"/>
      <c r="AZ301" s="174"/>
      <c r="BA301" s="174"/>
    </row>
    <row r="302" spans="4:53" ht="15"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174"/>
      <c r="AL302" s="174"/>
      <c r="AM302" s="174"/>
      <c r="AN302" s="174"/>
      <c r="AO302" s="174"/>
      <c r="AP302" s="174"/>
      <c r="AQ302" s="174"/>
      <c r="AR302" s="174"/>
      <c r="AS302" s="174"/>
      <c r="AT302" s="174"/>
      <c r="AU302" s="174"/>
      <c r="AV302" s="174"/>
      <c r="AW302" s="174"/>
      <c r="AX302" s="174"/>
      <c r="AY302" s="174"/>
      <c r="AZ302" s="174"/>
      <c r="BA302" s="174"/>
    </row>
    <row r="303" spans="4:53" ht="15"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4"/>
      <c r="AL303" s="174"/>
      <c r="AM303" s="174"/>
      <c r="AN303" s="174"/>
      <c r="AO303" s="174"/>
      <c r="AP303" s="174"/>
      <c r="AQ303" s="174"/>
      <c r="AR303" s="174"/>
      <c r="AS303" s="174"/>
      <c r="AT303" s="174"/>
      <c r="AU303" s="174"/>
      <c r="AV303" s="174"/>
      <c r="AW303" s="174"/>
      <c r="AX303" s="174"/>
      <c r="AY303" s="174"/>
      <c r="AZ303" s="174"/>
      <c r="BA303" s="174"/>
    </row>
    <row r="304" spans="4:53" ht="15"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  <c r="AM304" s="174"/>
      <c r="AN304" s="174"/>
      <c r="AO304" s="174"/>
      <c r="AP304" s="174"/>
      <c r="AQ304" s="174"/>
      <c r="AR304" s="174"/>
      <c r="AS304" s="174"/>
      <c r="AT304" s="174"/>
      <c r="AU304" s="174"/>
      <c r="AV304" s="174"/>
      <c r="AW304" s="174"/>
      <c r="AX304" s="174"/>
      <c r="AY304" s="174"/>
      <c r="AZ304" s="174"/>
      <c r="BA304" s="174"/>
    </row>
    <row r="305" spans="4:53" ht="15"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  <c r="AA305" s="174"/>
      <c r="AB305" s="174"/>
      <c r="AC305" s="174"/>
      <c r="AD305" s="174"/>
      <c r="AE305" s="174"/>
      <c r="AF305" s="174"/>
      <c r="AG305" s="174"/>
      <c r="AH305" s="174"/>
      <c r="AI305" s="174"/>
      <c r="AJ305" s="174"/>
      <c r="AK305" s="174"/>
      <c r="AL305" s="174"/>
      <c r="AM305" s="174"/>
      <c r="AN305" s="174"/>
      <c r="AO305" s="174"/>
      <c r="AP305" s="174"/>
      <c r="AQ305" s="174"/>
      <c r="AR305" s="174"/>
      <c r="AS305" s="174"/>
      <c r="AT305" s="174"/>
      <c r="AU305" s="174"/>
      <c r="AV305" s="174"/>
      <c r="AW305" s="174"/>
      <c r="AX305" s="174"/>
      <c r="AY305" s="174"/>
      <c r="AZ305" s="174"/>
      <c r="BA305" s="174"/>
    </row>
    <row r="306" spans="4:53" ht="15"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  <c r="AL306" s="174"/>
      <c r="AM306" s="174"/>
      <c r="AN306" s="174"/>
      <c r="AO306" s="174"/>
      <c r="AP306" s="174"/>
      <c r="AQ306" s="174"/>
      <c r="AR306" s="174"/>
      <c r="AS306" s="174"/>
      <c r="AT306" s="174"/>
      <c r="AU306" s="174"/>
      <c r="AV306" s="174"/>
      <c r="AW306" s="174"/>
      <c r="AX306" s="174"/>
      <c r="AY306" s="174"/>
      <c r="AZ306" s="174"/>
      <c r="BA306" s="174"/>
    </row>
    <row r="307" spans="4:53" ht="15"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174"/>
      <c r="AL307" s="174"/>
      <c r="AM307" s="174"/>
      <c r="AN307" s="174"/>
      <c r="AO307" s="174"/>
      <c r="AP307" s="174"/>
      <c r="AQ307" s="174"/>
      <c r="AR307" s="174"/>
      <c r="AS307" s="174"/>
      <c r="AT307" s="174"/>
      <c r="AU307" s="174"/>
      <c r="AV307" s="174"/>
      <c r="AW307" s="174"/>
      <c r="AX307" s="174"/>
      <c r="AY307" s="174"/>
      <c r="AZ307" s="174"/>
      <c r="BA307" s="174"/>
    </row>
    <row r="308" spans="4:53" ht="15"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74"/>
      <c r="AS308" s="174"/>
      <c r="AT308" s="174"/>
      <c r="AU308" s="174"/>
      <c r="AV308" s="174"/>
      <c r="AW308" s="174"/>
      <c r="AX308" s="174"/>
      <c r="AY308" s="174"/>
      <c r="AZ308" s="174"/>
      <c r="BA308" s="174"/>
    </row>
    <row r="309" spans="4:53" ht="15"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74"/>
      <c r="AL309" s="174"/>
      <c r="AM309" s="174"/>
      <c r="AN309" s="174"/>
      <c r="AO309" s="174"/>
      <c r="AP309" s="174"/>
      <c r="AQ309" s="174"/>
      <c r="AR309" s="174"/>
      <c r="AS309" s="174"/>
      <c r="AT309" s="174"/>
      <c r="AU309" s="174"/>
      <c r="AV309" s="174"/>
      <c r="AW309" s="174"/>
      <c r="AX309" s="174"/>
      <c r="AY309" s="174"/>
      <c r="AZ309" s="174"/>
      <c r="BA309" s="174"/>
    </row>
    <row r="310" spans="4:53" ht="15"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4"/>
      <c r="AM310" s="174"/>
      <c r="AN310" s="174"/>
      <c r="AO310" s="174"/>
      <c r="AP310" s="174"/>
      <c r="AQ310" s="174"/>
      <c r="AR310" s="174"/>
      <c r="AS310" s="174"/>
      <c r="AT310" s="174"/>
      <c r="AU310" s="174"/>
      <c r="AV310" s="174"/>
      <c r="AW310" s="174"/>
      <c r="AX310" s="174"/>
      <c r="AY310" s="174"/>
      <c r="AZ310" s="174"/>
      <c r="BA310" s="174"/>
    </row>
    <row r="311" spans="4:53" ht="15"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74"/>
      <c r="AL311" s="174"/>
      <c r="AM311" s="174"/>
      <c r="AN311" s="174"/>
      <c r="AO311" s="174"/>
      <c r="AP311" s="174"/>
      <c r="AQ311" s="174"/>
      <c r="AR311" s="174"/>
      <c r="AS311" s="174"/>
      <c r="AT311" s="174"/>
      <c r="AU311" s="174"/>
      <c r="AV311" s="174"/>
      <c r="AW311" s="174"/>
      <c r="AX311" s="174"/>
      <c r="AY311" s="174"/>
      <c r="AZ311" s="174"/>
      <c r="BA311" s="174"/>
    </row>
    <row r="312" spans="4:53" ht="15"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  <c r="AL312" s="174"/>
      <c r="AM312" s="174"/>
      <c r="AN312" s="174"/>
      <c r="AO312" s="174"/>
      <c r="AP312" s="174"/>
      <c r="AQ312" s="174"/>
      <c r="AR312" s="174"/>
      <c r="AS312" s="174"/>
      <c r="AT312" s="174"/>
      <c r="AU312" s="174"/>
      <c r="AV312" s="174"/>
      <c r="AW312" s="174"/>
      <c r="AX312" s="174"/>
      <c r="AY312" s="174"/>
      <c r="AZ312" s="174"/>
      <c r="BA312" s="174"/>
    </row>
    <row r="313" spans="4:53" ht="15"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174"/>
      <c r="AL313" s="174"/>
      <c r="AM313" s="174"/>
      <c r="AN313" s="174"/>
      <c r="AO313" s="174"/>
      <c r="AP313" s="174"/>
      <c r="AQ313" s="174"/>
      <c r="AR313" s="174"/>
      <c r="AS313" s="174"/>
      <c r="AT313" s="174"/>
      <c r="AU313" s="174"/>
      <c r="AV313" s="174"/>
      <c r="AW313" s="174"/>
      <c r="AX313" s="174"/>
      <c r="AY313" s="174"/>
      <c r="AZ313" s="174"/>
      <c r="BA313" s="174"/>
    </row>
    <row r="314" spans="4:53" ht="15"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174"/>
      <c r="AL314" s="174"/>
      <c r="AM314" s="174"/>
      <c r="AN314" s="174"/>
      <c r="AO314" s="174"/>
      <c r="AP314" s="174"/>
      <c r="AQ314" s="174"/>
      <c r="AR314" s="174"/>
      <c r="AS314" s="174"/>
      <c r="AT314" s="174"/>
      <c r="AU314" s="174"/>
      <c r="AV314" s="174"/>
      <c r="AW314" s="174"/>
      <c r="AX314" s="174"/>
      <c r="AY314" s="174"/>
      <c r="AZ314" s="174"/>
      <c r="BA314" s="174"/>
    </row>
    <row r="315" spans="4:53" ht="15"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  <c r="AL315" s="174"/>
      <c r="AM315" s="174"/>
      <c r="AN315" s="174"/>
      <c r="AO315" s="174"/>
      <c r="AP315" s="174"/>
      <c r="AQ315" s="174"/>
      <c r="AR315" s="174"/>
      <c r="AS315" s="174"/>
      <c r="AT315" s="174"/>
      <c r="AU315" s="174"/>
      <c r="AV315" s="174"/>
      <c r="AW315" s="174"/>
      <c r="AX315" s="174"/>
      <c r="AY315" s="174"/>
      <c r="AZ315" s="174"/>
      <c r="BA315" s="174"/>
    </row>
    <row r="316" spans="4:53" ht="15"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4"/>
      <c r="AN316" s="174"/>
      <c r="AO316" s="174"/>
      <c r="AP316" s="174"/>
      <c r="AQ316" s="174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4"/>
    </row>
    <row r="317" spans="4:53" ht="15"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74"/>
      <c r="AS317" s="174"/>
      <c r="AT317" s="174"/>
      <c r="AU317" s="174"/>
      <c r="AV317" s="174"/>
      <c r="AW317" s="174"/>
      <c r="AX317" s="174"/>
      <c r="AY317" s="174"/>
      <c r="AZ317" s="174"/>
      <c r="BA317" s="174"/>
    </row>
    <row r="318" spans="4:53" ht="15"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  <c r="AM318" s="174"/>
      <c r="AN318" s="174"/>
      <c r="AO318" s="174"/>
      <c r="AP318" s="174"/>
      <c r="AQ318" s="174"/>
      <c r="AR318" s="174"/>
      <c r="AS318" s="174"/>
      <c r="AT318" s="174"/>
      <c r="AU318" s="174"/>
      <c r="AV318" s="174"/>
      <c r="AW318" s="174"/>
      <c r="AX318" s="174"/>
      <c r="AY318" s="174"/>
      <c r="AZ318" s="174"/>
      <c r="BA318" s="174"/>
    </row>
    <row r="319" spans="4:53" ht="15"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74"/>
      <c r="AL319" s="174"/>
      <c r="AM319" s="174"/>
      <c r="AN319" s="174"/>
      <c r="AO319" s="174"/>
      <c r="AP319" s="174"/>
      <c r="AQ319" s="174"/>
      <c r="AR319" s="174"/>
      <c r="AS319" s="174"/>
      <c r="AT319" s="174"/>
      <c r="AU319" s="174"/>
      <c r="AV319" s="174"/>
      <c r="AW319" s="174"/>
      <c r="AX319" s="174"/>
      <c r="AY319" s="174"/>
      <c r="AZ319" s="174"/>
      <c r="BA319" s="174"/>
    </row>
    <row r="320" spans="4:53" ht="15"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  <c r="AL320" s="174"/>
      <c r="AM320" s="174"/>
      <c r="AN320" s="174"/>
      <c r="AO320" s="174"/>
      <c r="AP320" s="174"/>
      <c r="AQ320" s="174"/>
      <c r="AR320" s="174"/>
      <c r="AS320" s="174"/>
      <c r="AT320" s="174"/>
      <c r="AU320" s="174"/>
      <c r="AV320" s="174"/>
      <c r="AW320" s="174"/>
      <c r="AX320" s="174"/>
      <c r="AY320" s="174"/>
      <c r="AZ320" s="174"/>
      <c r="BA320" s="174"/>
    </row>
    <row r="321" spans="4:53" ht="15"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  <c r="AL321" s="174"/>
      <c r="AM321" s="174"/>
      <c r="AN321" s="174"/>
      <c r="AO321" s="174"/>
      <c r="AP321" s="174"/>
      <c r="AQ321" s="174"/>
      <c r="AR321" s="174"/>
      <c r="AS321" s="174"/>
      <c r="AT321" s="174"/>
      <c r="AU321" s="174"/>
      <c r="AV321" s="174"/>
      <c r="AW321" s="174"/>
      <c r="AX321" s="174"/>
      <c r="AY321" s="174"/>
      <c r="AZ321" s="174"/>
      <c r="BA321" s="174"/>
    </row>
    <row r="322" spans="4:53" ht="15"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  <c r="AL322" s="174"/>
      <c r="AM322" s="174"/>
      <c r="AN322" s="174"/>
      <c r="AO322" s="174"/>
      <c r="AP322" s="174"/>
      <c r="AQ322" s="174"/>
      <c r="AR322" s="174"/>
      <c r="AS322" s="174"/>
      <c r="AT322" s="174"/>
      <c r="AU322" s="174"/>
      <c r="AV322" s="174"/>
      <c r="AW322" s="174"/>
      <c r="AX322" s="174"/>
      <c r="AY322" s="174"/>
      <c r="AZ322" s="174"/>
      <c r="BA322" s="174"/>
    </row>
    <row r="323" spans="4:53" ht="15"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174"/>
      <c r="AL323" s="174"/>
      <c r="AM323" s="174"/>
      <c r="AN323" s="174"/>
      <c r="AO323" s="174"/>
      <c r="AP323" s="174"/>
      <c r="AQ323" s="174"/>
      <c r="AR323" s="174"/>
      <c r="AS323" s="174"/>
      <c r="AT323" s="174"/>
      <c r="AU323" s="174"/>
      <c r="AV323" s="174"/>
      <c r="AW323" s="174"/>
      <c r="AX323" s="174"/>
      <c r="AY323" s="174"/>
      <c r="AZ323" s="174"/>
      <c r="BA323" s="174"/>
    </row>
    <row r="324" spans="4:53" ht="15"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  <c r="AL324" s="174"/>
      <c r="AM324" s="174"/>
      <c r="AN324" s="174"/>
      <c r="AO324" s="174"/>
      <c r="AP324" s="174"/>
      <c r="AQ324" s="174"/>
      <c r="AR324" s="174"/>
      <c r="AS324" s="174"/>
      <c r="AT324" s="174"/>
      <c r="AU324" s="174"/>
      <c r="AV324" s="174"/>
      <c r="AW324" s="174"/>
      <c r="AX324" s="174"/>
      <c r="AY324" s="174"/>
      <c r="AZ324" s="174"/>
      <c r="BA324" s="174"/>
    </row>
    <row r="325" spans="4:53" ht="15"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  <c r="AL325" s="174"/>
      <c r="AM325" s="174"/>
      <c r="AN325" s="174"/>
      <c r="AO325" s="174"/>
      <c r="AP325" s="174"/>
      <c r="AQ325" s="174"/>
      <c r="AR325" s="174"/>
      <c r="AS325" s="174"/>
      <c r="AT325" s="174"/>
      <c r="AU325" s="174"/>
      <c r="AV325" s="174"/>
      <c r="AW325" s="174"/>
      <c r="AX325" s="174"/>
      <c r="AY325" s="174"/>
      <c r="AZ325" s="174"/>
      <c r="BA325" s="174"/>
    </row>
    <row r="326" spans="4:53" ht="15"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4"/>
      <c r="AN326" s="174"/>
      <c r="AO326" s="174"/>
      <c r="AP326" s="174"/>
      <c r="AQ326" s="174"/>
      <c r="AR326" s="174"/>
      <c r="AS326" s="174"/>
      <c r="AT326" s="174"/>
      <c r="AU326" s="174"/>
      <c r="AV326" s="174"/>
      <c r="AW326" s="174"/>
      <c r="AX326" s="174"/>
      <c r="AY326" s="174"/>
      <c r="AZ326" s="174"/>
      <c r="BA326" s="174"/>
    </row>
    <row r="327" spans="4:53" ht="15"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  <c r="AM327" s="174"/>
      <c r="AN327" s="174"/>
      <c r="AO327" s="174"/>
      <c r="AP327" s="174"/>
      <c r="AQ327" s="174"/>
      <c r="AR327" s="174"/>
      <c r="AS327" s="174"/>
      <c r="AT327" s="174"/>
      <c r="AU327" s="174"/>
      <c r="AV327" s="174"/>
      <c r="AW327" s="174"/>
      <c r="AX327" s="174"/>
      <c r="AY327" s="174"/>
      <c r="AZ327" s="174"/>
      <c r="BA327" s="174"/>
    </row>
    <row r="328" spans="4:53" ht="15"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  <c r="AM328" s="174"/>
      <c r="AN328" s="174"/>
      <c r="AO328" s="174"/>
      <c r="AP328" s="174"/>
      <c r="AQ328" s="174"/>
      <c r="AR328" s="174"/>
      <c r="AS328" s="174"/>
      <c r="AT328" s="174"/>
      <c r="AU328" s="174"/>
      <c r="AV328" s="174"/>
      <c r="AW328" s="174"/>
      <c r="AX328" s="174"/>
      <c r="AY328" s="174"/>
      <c r="AZ328" s="174"/>
      <c r="BA328" s="174"/>
    </row>
    <row r="329" spans="4:53" ht="15"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  <c r="AM329" s="174"/>
      <c r="AN329" s="174"/>
      <c r="AO329" s="174"/>
      <c r="AP329" s="174"/>
      <c r="AQ329" s="174"/>
      <c r="AR329" s="174"/>
      <c r="AS329" s="174"/>
      <c r="AT329" s="174"/>
      <c r="AU329" s="174"/>
      <c r="AV329" s="174"/>
      <c r="AW329" s="174"/>
      <c r="AX329" s="174"/>
      <c r="AY329" s="174"/>
      <c r="AZ329" s="174"/>
      <c r="BA329" s="174"/>
    </row>
    <row r="330" spans="4:53" ht="15"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74"/>
      <c r="AS330" s="174"/>
      <c r="AT330" s="174"/>
      <c r="AU330" s="174"/>
      <c r="AV330" s="174"/>
      <c r="AW330" s="174"/>
      <c r="AX330" s="174"/>
      <c r="AY330" s="174"/>
      <c r="AZ330" s="174"/>
      <c r="BA330" s="174"/>
    </row>
    <row r="331" spans="4:53" ht="15"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4"/>
      <c r="AN331" s="174"/>
      <c r="AO331" s="174"/>
      <c r="AP331" s="174"/>
      <c r="AQ331" s="174"/>
      <c r="AR331" s="174"/>
      <c r="AS331" s="174"/>
      <c r="AT331" s="174"/>
      <c r="AU331" s="174"/>
      <c r="AV331" s="174"/>
      <c r="AW331" s="174"/>
      <c r="AX331" s="174"/>
      <c r="AY331" s="174"/>
      <c r="AZ331" s="174"/>
      <c r="BA331" s="174"/>
    </row>
    <row r="332" spans="4:53" ht="15"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4"/>
      <c r="AN332" s="174"/>
      <c r="AO332" s="174"/>
      <c r="AP332" s="174"/>
      <c r="AQ332" s="174"/>
      <c r="AR332" s="174"/>
      <c r="AS332" s="174"/>
      <c r="AT332" s="174"/>
      <c r="AU332" s="174"/>
      <c r="AV332" s="174"/>
      <c r="AW332" s="174"/>
      <c r="AX332" s="174"/>
      <c r="AY332" s="174"/>
      <c r="AZ332" s="174"/>
      <c r="BA332" s="174"/>
    </row>
    <row r="333" spans="4:53" ht="15"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74"/>
      <c r="AS333" s="174"/>
      <c r="AT333" s="174"/>
      <c r="AU333" s="174"/>
      <c r="AV333" s="174"/>
      <c r="AW333" s="174"/>
      <c r="AX333" s="174"/>
      <c r="AY333" s="174"/>
      <c r="AZ333" s="174"/>
      <c r="BA333" s="174"/>
    </row>
    <row r="334" spans="4:53" ht="15"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4"/>
      <c r="AT334" s="174"/>
      <c r="AU334" s="174"/>
      <c r="AV334" s="174"/>
      <c r="AW334" s="174"/>
      <c r="AX334" s="174"/>
      <c r="AY334" s="174"/>
      <c r="AZ334" s="174"/>
      <c r="BA334" s="174"/>
    </row>
    <row r="335" spans="4:53" ht="15"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4"/>
      <c r="AN335" s="174"/>
      <c r="AO335" s="174"/>
      <c r="AP335" s="174"/>
      <c r="AQ335" s="174"/>
      <c r="AR335" s="174"/>
      <c r="AS335" s="174"/>
      <c r="AT335" s="174"/>
      <c r="AU335" s="174"/>
      <c r="AV335" s="174"/>
      <c r="AW335" s="174"/>
      <c r="AX335" s="174"/>
      <c r="AY335" s="174"/>
      <c r="AZ335" s="174"/>
      <c r="BA335" s="174"/>
    </row>
    <row r="336" spans="4:53" ht="15"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4"/>
      <c r="AO336" s="174"/>
      <c r="AP336" s="174"/>
      <c r="AQ336" s="174"/>
      <c r="AR336" s="174"/>
      <c r="AS336" s="174"/>
      <c r="AT336" s="174"/>
      <c r="AU336" s="174"/>
      <c r="AV336" s="174"/>
      <c r="AW336" s="174"/>
      <c r="AX336" s="174"/>
      <c r="AY336" s="174"/>
      <c r="AZ336" s="174"/>
      <c r="BA336" s="174"/>
    </row>
    <row r="337" spans="4:53" ht="15"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74"/>
      <c r="AT337" s="174"/>
      <c r="AU337" s="174"/>
      <c r="AV337" s="174"/>
      <c r="AW337" s="174"/>
      <c r="AX337" s="174"/>
      <c r="AY337" s="174"/>
      <c r="AZ337" s="174"/>
      <c r="BA337" s="174"/>
    </row>
    <row r="338" spans="4:53" ht="15"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  <c r="AM338" s="174"/>
      <c r="AN338" s="174"/>
      <c r="AO338" s="174"/>
      <c r="AP338" s="174"/>
      <c r="AQ338" s="174"/>
      <c r="AR338" s="174"/>
      <c r="AS338" s="174"/>
      <c r="AT338" s="174"/>
      <c r="AU338" s="174"/>
      <c r="AV338" s="174"/>
      <c r="AW338" s="174"/>
      <c r="AX338" s="174"/>
      <c r="AY338" s="174"/>
      <c r="AZ338" s="174"/>
      <c r="BA338" s="174"/>
    </row>
    <row r="339" spans="4:53" ht="15"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  <c r="AL339" s="174"/>
      <c r="AM339" s="174"/>
      <c r="AN339" s="174"/>
      <c r="AO339" s="174"/>
      <c r="AP339" s="174"/>
      <c r="AQ339" s="174"/>
      <c r="AR339" s="174"/>
      <c r="AS339" s="174"/>
      <c r="AT339" s="174"/>
      <c r="AU339" s="174"/>
      <c r="AV339" s="174"/>
      <c r="AW339" s="174"/>
      <c r="AX339" s="174"/>
      <c r="AY339" s="174"/>
      <c r="AZ339" s="174"/>
      <c r="BA339" s="174"/>
    </row>
    <row r="340" spans="4:53" ht="15"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174"/>
      <c r="AL340" s="174"/>
      <c r="AM340" s="174"/>
      <c r="AN340" s="174"/>
      <c r="AO340" s="174"/>
      <c r="AP340" s="174"/>
      <c r="AQ340" s="174"/>
      <c r="AR340" s="174"/>
      <c r="AS340" s="174"/>
      <c r="AT340" s="174"/>
      <c r="AU340" s="174"/>
      <c r="AV340" s="174"/>
      <c r="AW340" s="174"/>
      <c r="AX340" s="174"/>
      <c r="AY340" s="174"/>
      <c r="AZ340" s="174"/>
      <c r="BA340" s="174"/>
    </row>
    <row r="341" spans="4:53" ht="15"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  <c r="AL341" s="174"/>
      <c r="AM341" s="174"/>
      <c r="AN341" s="174"/>
      <c r="AO341" s="174"/>
      <c r="AP341" s="174"/>
      <c r="AQ341" s="174"/>
      <c r="AR341" s="174"/>
      <c r="AS341" s="174"/>
      <c r="AT341" s="174"/>
      <c r="AU341" s="174"/>
      <c r="AV341" s="174"/>
      <c r="AW341" s="174"/>
      <c r="AX341" s="174"/>
      <c r="AY341" s="174"/>
      <c r="AZ341" s="174"/>
      <c r="BA341" s="174"/>
    </row>
    <row r="342" spans="4:53" ht="15"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  <c r="AL342" s="174"/>
      <c r="AM342" s="174"/>
      <c r="AN342" s="174"/>
      <c r="AO342" s="174"/>
      <c r="AP342" s="174"/>
      <c r="AQ342" s="174"/>
      <c r="AR342" s="174"/>
      <c r="AS342" s="174"/>
      <c r="AT342" s="174"/>
      <c r="AU342" s="174"/>
      <c r="AV342" s="174"/>
      <c r="AW342" s="174"/>
      <c r="AX342" s="174"/>
      <c r="AY342" s="174"/>
      <c r="AZ342" s="174"/>
      <c r="BA342" s="174"/>
    </row>
    <row r="343" spans="4:53" ht="15"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  <c r="AA343" s="174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174"/>
      <c r="AL343" s="174"/>
      <c r="AM343" s="174"/>
      <c r="AN343" s="174"/>
      <c r="AO343" s="174"/>
      <c r="AP343" s="174"/>
      <c r="AQ343" s="174"/>
      <c r="AR343" s="174"/>
      <c r="AS343" s="174"/>
      <c r="AT343" s="174"/>
      <c r="AU343" s="174"/>
      <c r="AV343" s="174"/>
      <c r="AW343" s="174"/>
      <c r="AX343" s="174"/>
      <c r="AY343" s="174"/>
      <c r="AZ343" s="174"/>
      <c r="BA343" s="174"/>
    </row>
    <row r="344" spans="4:53" ht="15"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174"/>
      <c r="AL344" s="174"/>
      <c r="AM344" s="174"/>
      <c r="AN344" s="174"/>
      <c r="AO344" s="174"/>
      <c r="AP344" s="174"/>
      <c r="AQ344" s="174"/>
      <c r="AR344" s="174"/>
      <c r="AS344" s="174"/>
      <c r="AT344" s="174"/>
      <c r="AU344" s="174"/>
      <c r="AV344" s="174"/>
      <c r="AW344" s="174"/>
      <c r="AX344" s="174"/>
      <c r="AY344" s="174"/>
      <c r="AZ344" s="174"/>
      <c r="BA344" s="174"/>
    </row>
    <row r="345" spans="4:53" ht="15"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  <c r="AM345" s="174"/>
      <c r="AN345" s="174"/>
      <c r="AO345" s="174"/>
      <c r="AP345" s="174"/>
      <c r="AQ345" s="174"/>
      <c r="AR345" s="174"/>
      <c r="AS345" s="174"/>
      <c r="AT345" s="174"/>
      <c r="AU345" s="174"/>
      <c r="AV345" s="174"/>
      <c r="AW345" s="174"/>
      <c r="AX345" s="174"/>
      <c r="AY345" s="174"/>
      <c r="AZ345" s="174"/>
      <c r="BA345" s="174"/>
    </row>
    <row r="346" spans="4:53" ht="15"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  <c r="AA346" s="174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174"/>
      <c r="AL346" s="174"/>
      <c r="AM346" s="174"/>
      <c r="AN346" s="174"/>
      <c r="AO346" s="174"/>
      <c r="AP346" s="174"/>
      <c r="AQ346" s="174"/>
      <c r="AR346" s="174"/>
      <c r="AS346" s="174"/>
      <c r="AT346" s="174"/>
      <c r="AU346" s="174"/>
      <c r="AV346" s="174"/>
      <c r="AW346" s="174"/>
      <c r="AX346" s="174"/>
      <c r="AY346" s="174"/>
      <c r="AZ346" s="174"/>
      <c r="BA346" s="174"/>
    </row>
    <row r="347" spans="4:53" ht="15"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174"/>
      <c r="AL347" s="174"/>
      <c r="AM347" s="174"/>
      <c r="AN347" s="174"/>
      <c r="AO347" s="174"/>
      <c r="AP347" s="174"/>
      <c r="AQ347" s="174"/>
      <c r="AR347" s="174"/>
      <c r="AS347" s="174"/>
      <c r="AT347" s="174"/>
      <c r="AU347" s="174"/>
      <c r="AV347" s="174"/>
      <c r="AW347" s="174"/>
      <c r="AX347" s="174"/>
      <c r="AY347" s="174"/>
      <c r="AZ347" s="174"/>
      <c r="BA347" s="174"/>
    </row>
    <row r="348" spans="4:53" ht="15"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  <c r="AL348" s="174"/>
      <c r="AM348" s="174"/>
      <c r="AN348" s="174"/>
      <c r="AO348" s="174"/>
      <c r="AP348" s="174"/>
      <c r="AQ348" s="174"/>
      <c r="AR348" s="174"/>
      <c r="AS348" s="174"/>
      <c r="AT348" s="174"/>
      <c r="AU348" s="174"/>
      <c r="AV348" s="174"/>
      <c r="AW348" s="174"/>
      <c r="AX348" s="174"/>
      <c r="AY348" s="174"/>
      <c r="AZ348" s="174"/>
      <c r="BA348" s="174"/>
    </row>
    <row r="349" spans="4:53" ht="15"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174"/>
      <c r="AL349" s="174"/>
      <c r="AM349" s="174"/>
      <c r="AN349" s="174"/>
      <c r="AO349" s="174"/>
      <c r="AP349" s="174"/>
      <c r="AQ349" s="174"/>
      <c r="AR349" s="174"/>
      <c r="AS349" s="174"/>
      <c r="AT349" s="174"/>
      <c r="AU349" s="174"/>
      <c r="AV349" s="174"/>
      <c r="AW349" s="174"/>
      <c r="AX349" s="174"/>
      <c r="AY349" s="174"/>
      <c r="AZ349" s="174"/>
      <c r="BA349" s="174"/>
    </row>
    <row r="350" spans="4:53" ht="15"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  <c r="AL350" s="174"/>
      <c r="AM350" s="174"/>
      <c r="AN350" s="174"/>
      <c r="AO350" s="174"/>
      <c r="AP350" s="174"/>
      <c r="AQ350" s="174"/>
      <c r="AR350" s="174"/>
      <c r="AS350" s="174"/>
      <c r="AT350" s="174"/>
      <c r="AU350" s="174"/>
      <c r="AV350" s="174"/>
      <c r="AW350" s="174"/>
      <c r="AX350" s="174"/>
      <c r="AY350" s="174"/>
      <c r="AZ350" s="174"/>
      <c r="BA350" s="174"/>
    </row>
    <row r="351" spans="4:53" ht="15"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  <c r="AM351" s="174"/>
      <c r="AN351" s="174"/>
      <c r="AO351" s="174"/>
      <c r="AP351" s="174"/>
      <c r="AQ351" s="174"/>
      <c r="AR351" s="174"/>
      <c r="AS351" s="174"/>
      <c r="AT351" s="174"/>
      <c r="AU351" s="174"/>
      <c r="AV351" s="174"/>
      <c r="AW351" s="174"/>
      <c r="AX351" s="174"/>
      <c r="AY351" s="174"/>
      <c r="AZ351" s="174"/>
      <c r="BA351" s="174"/>
    </row>
    <row r="352" spans="4:53" ht="15"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  <c r="AL352" s="174"/>
      <c r="AM352" s="174"/>
      <c r="AN352" s="174"/>
      <c r="AO352" s="174"/>
      <c r="AP352" s="174"/>
      <c r="AQ352" s="174"/>
      <c r="AR352" s="174"/>
      <c r="AS352" s="174"/>
      <c r="AT352" s="174"/>
      <c r="AU352" s="174"/>
      <c r="AV352" s="174"/>
      <c r="AW352" s="174"/>
      <c r="AX352" s="174"/>
      <c r="AY352" s="174"/>
      <c r="AZ352" s="174"/>
      <c r="BA352" s="174"/>
    </row>
    <row r="353" spans="4:53" ht="15"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  <c r="AL353" s="174"/>
      <c r="AM353" s="174"/>
      <c r="AN353" s="174"/>
      <c r="AO353" s="174"/>
      <c r="AP353" s="174"/>
      <c r="AQ353" s="174"/>
      <c r="AR353" s="174"/>
      <c r="AS353" s="174"/>
      <c r="AT353" s="174"/>
      <c r="AU353" s="174"/>
      <c r="AV353" s="174"/>
      <c r="AW353" s="174"/>
      <c r="AX353" s="174"/>
      <c r="AY353" s="174"/>
      <c r="AZ353" s="174"/>
      <c r="BA353" s="174"/>
    </row>
    <row r="354" spans="4:53" ht="15"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  <c r="AL354" s="174"/>
      <c r="AM354" s="174"/>
      <c r="AN354" s="174"/>
      <c r="AO354" s="174"/>
      <c r="AP354" s="174"/>
      <c r="AQ354" s="174"/>
      <c r="AR354" s="174"/>
      <c r="AS354" s="174"/>
      <c r="AT354" s="174"/>
      <c r="AU354" s="174"/>
      <c r="AV354" s="174"/>
      <c r="AW354" s="174"/>
      <c r="AX354" s="174"/>
      <c r="AY354" s="174"/>
      <c r="AZ354" s="174"/>
      <c r="BA354" s="174"/>
    </row>
    <row r="355" spans="4:53" ht="15"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  <c r="AA355" s="174"/>
      <c r="AB355" s="174"/>
      <c r="AC355" s="174"/>
      <c r="AD355" s="174"/>
      <c r="AE355" s="174"/>
      <c r="AF355" s="174"/>
      <c r="AG355" s="174"/>
      <c r="AH355" s="174"/>
      <c r="AI355" s="174"/>
      <c r="AJ355" s="174"/>
      <c r="AK355" s="174"/>
      <c r="AL355" s="174"/>
      <c r="AM355" s="174"/>
      <c r="AN355" s="174"/>
      <c r="AO355" s="174"/>
      <c r="AP355" s="174"/>
      <c r="AQ355" s="174"/>
      <c r="AR355" s="174"/>
      <c r="AS355" s="174"/>
      <c r="AT355" s="174"/>
      <c r="AU355" s="174"/>
      <c r="AV355" s="174"/>
      <c r="AW355" s="174"/>
      <c r="AX355" s="174"/>
      <c r="AY355" s="174"/>
      <c r="AZ355" s="174"/>
      <c r="BA355" s="174"/>
    </row>
    <row r="356" spans="4:53" ht="15"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174"/>
      <c r="AL356" s="174"/>
      <c r="AM356" s="174"/>
      <c r="AN356" s="174"/>
      <c r="AO356" s="174"/>
      <c r="AP356" s="174"/>
      <c r="AQ356" s="174"/>
      <c r="AR356" s="174"/>
      <c r="AS356" s="174"/>
      <c r="AT356" s="174"/>
      <c r="AU356" s="174"/>
      <c r="AV356" s="174"/>
      <c r="AW356" s="174"/>
      <c r="AX356" s="174"/>
      <c r="AY356" s="174"/>
      <c r="AZ356" s="174"/>
      <c r="BA356" s="174"/>
    </row>
    <row r="357" spans="4:53" ht="15"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174"/>
      <c r="AL357" s="174"/>
      <c r="AM357" s="174"/>
      <c r="AN357" s="174"/>
      <c r="AO357" s="174"/>
      <c r="AP357" s="174"/>
      <c r="AQ357" s="174"/>
      <c r="AR357" s="174"/>
      <c r="AS357" s="174"/>
      <c r="AT357" s="174"/>
      <c r="AU357" s="174"/>
      <c r="AV357" s="174"/>
      <c r="AW357" s="174"/>
      <c r="AX357" s="174"/>
      <c r="AY357" s="174"/>
      <c r="AZ357" s="174"/>
      <c r="BA357" s="174"/>
    </row>
    <row r="358" spans="4:53" ht="15"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4"/>
      <c r="AK358" s="174"/>
      <c r="AL358" s="174"/>
      <c r="AM358" s="174"/>
      <c r="AN358" s="174"/>
      <c r="AO358" s="174"/>
      <c r="AP358" s="174"/>
      <c r="AQ358" s="174"/>
      <c r="AR358" s="174"/>
      <c r="AS358" s="174"/>
      <c r="AT358" s="174"/>
      <c r="AU358" s="174"/>
      <c r="AV358" s="174"/>
      <c r="AW358" s="174"/>
      <c r="AX358" s="174"/>
      <c r="AY358" s="174"/>
      <c r="AZ358" s="174"/>
      <c r="BA358" s="174"/>
    </row>
    <row r="359" spans="4:53" ht="15"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174"/>
      <c r="AL359" s="174"/>
      <c r="AM359" s="174"/>
      <c r="AN359" s="174"/>
      <c r="AO359" s="174"/>
      <c r="AP359" s="174"/>
      <c r="AQ359" s="174"/>
      <c r="AR359" s="174"/>
      <c r="AS359" s="174"/>
      <c r="AT359" s="174"/>
      <c r="AU359" s="174"/>
      <c r="AV359" s="174"/>
      <c r="AW359" s="174"/>
      <c r="AX359" s="174"/>
      <c r="AY359" s="174"/>
      <c r="AZ359" s="174"/>
      <c r="BA359" s="174"/>
    </row>
    <row r="360" spans="4:53" ht="15"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  <c r="AL360" s="174"/>
      <c r="AM360" s="174"/>
      <c r="AN360" s="174"/>
      <c r="AO360" s="174"/>
      <c r="AP360" s="174"/>
      <c r="AQ360" s="174"/>
      <c r="AR360" s="174"/>
      <c r="AS360" s="174"/>
      <c r="AT360" s="174"/>
      <c r="AU360" s="174"/>
      <c r="AV360" s="174"/>
      <c r="AW360" s="174"/>
      <c r="AX360" s="174"/>
      <c r="AY360" s="174"/>
      <c r="AZ360" s="174"/>
      <c r="BA360" s="174"/>
    </row>
    <row r="361" spans="4:53" ht="15"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  <c r="AG361" s="174"/>
      <c r="AH361" s="174"/>
      <c r="AI361" s="174"/>
      <c r="AJ361" s="174"/>
      <c r="AK361" s="174"/>
      <c r="AL361" s="174"/>
      <c r="AM361" s="174"/>
      <c r="AN361" s="174"/>
      <c r="AO361" s="174"/>
      <c r="AP361" s="174"/>
      <c r="AQ361" s="174"/>
      <c r="AR361" s="174"/>
      <c r="AS361" s="174"/>
      <c r="AT361" s="174"/>
      <c r="AU361" s="174"/>
      <c r="AV361" s="174"/>
      <c r="AW361" s="174"/>
      <c r="AX361" s="174"/>
      <c r="AY361" s="174"/>
      <c r="AZ361" s="174"/>
      <c r="BA361" s="174"/>
    </row>
    <row r="362" spans="4:53" ht="15"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  <c r="AG362" s="174"/>
      <c r="AH362" s="174"/>
      <c r="AI362" s="174"/>
      <c r="AJ362" s="174"/>
      <c r="AK362" s="174"/>
      <c r="AL362" s="174"/>
      <c r="AM362" s="174"/>
      <c r="AN362" s="174"/>
      <c r="AO362" s="174"/>
      <c r="AP362" s="174"/>
      <c r="AQ362" s="174"/>
      <c r="AR362" s="174"/>
      <c r="AS362" s="174"/>
      <c r="AT362" s="174"/>
      <c r="AU362" s="174"/>
      <c r="AV362" s="174"/>
      <c r="AW362" s="174"/>
      <c r="AX362" s="174"/>
      <c r="AY362" s="174"/>
      <c r="AZ362" s="174"/>
      <c r="BA362" s="174"/>
    </row>
    <row r="363" spans="4:53" ht="15"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174"/>
      <c r="AL363" s="174"/>
      <c r="AM363" s="174"/>
      <c r="AN363" s="174"/>
      <c r="AO363" s="174"/>
      <c r="AP363" s="174"/>
      <c r="AQ363" s="174"/>
      <c r="AR363" s="174"/>
      <c r="AS363" s="174"/>
      <c r="AT363" s="174"/>
      <c r="AU363" s="174"/>
      <c r="AV363" s="174"/>
      <c r="AW363" s="174"/>
      <c r="AX363" s="174"/>
      <c r="AY363" s="174"/>
      <c r="AZ363" s="174"/>
      <c r="BA363" s="174"/>
    </row>
    <row r="364" spans="4:53" ht="15"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  <c r="AA364" s="174"/>
      <c r="AB364" s="174"/>
      <c r="AC364" s="174"/>
      <c r="AD364" s="174"/>
      <c r="AE364" s="174"/>
      <c r="AF364" s="174"/>
      <c r="AG364" s="174"/>
      <c r="AH364" s="174"/>
      <c r="AI364" s="174"/>
      <c r="AJ364" s="174"/>
      <c r="AK364" s="174"/>
      <c r="AL364" s="174"/>
      <c r="AM364" s="174"/>
      <c r="AN364" s="174"/>
      <c r="AO364" s="174"/>
      <c r="AP364" s="174"/>
      <c r="AQ364" s="174"/>
      <c r="AR364" s="174"/>
      <c r="AS364" s="174"/>
      <c r="AT364" s="174"/>
      <c r="AU364" s="174"/>
      <c r="AV364" s="174"/>
      <c r="AW364" s="174"/>
      <c r="AX364" s="174"/>
      <c r="AY364" s="174"/>
      <c r="AZ364" s="174"/>
      <c r="BA364" s="174"/>
    </row>
    <row r="365" spans="4:53" ht="15"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174"/>
      <c r="AL365" s="174"/>
      <c r="AM365" s="174"/>
      <c r="AN365" s="174"/>
      <c r="AO365" s="174"/>
      <c r="AP365" s="174"/>
      <c r="AQ365" s="174"/>
      <c r="AR365" s="174"/>
      <c r="AS365" s="174"/>
      <c r="AT365" s="174"/>
      <c r="AU365" s="174"/>
      <c r="AV365" s="174"/>
      <c r="AW365" s="174"/>
      <c r="AX365" s="174"/>
      <c r="AY365" s="174"/>
      <c r="AZ365" s="174"/>
      <c r="BA365" s="174"/>
    </row>
    <row r="366" spans="4:53" ht="15"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  <c r="AL366" s="174"/>
      <c r="AM366" s="174"/>
      <c r="AN366" s="174"/>
      <c r="AO366" s="174"/>
      <c r="AP366" s="174"/>
      <c r="AQ366" s="174"/>
      <c r="AR366" s="174"/>
      <c r="AS366" s="174"/>
      <c r="AT366" s="174"/>
      <c r="AU366" s="174"/>
      <c r="AV366" s="174"/>
      <c r="AW366" s="174"/>
      <c r="AX366" s="174"/>
      <c r="AY366" s="174"/>
      <c r="AZ366" s="174"/>
      <c r="BA366" s="174"/>
    </row>
    <row r="367" spans="4:53" ht="15"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  <c r="AA367" s="174"/>
      <c r="AB367" s="174"/>
      <c r="AC367" s="174"/>
      <c r="AD367" s="174"/>
      <c r="AE367" s="174"/>
      <c r="AF367" s="174"/>
      <c r="AG367" s="174"/>
      <c r="AH367" s="174"/>
      <c r="AI367" s="174"/>
      <c r="AJ367" s="174"/>
      <c r="AK367" s="174"/>
      <c r="AL367" s="174"/>
      <c r="AM367" s="174"/>
      <c r="AN367" s="174"/>
      <c r="AO367" s="174"/>
      <c r="AP367" s="174"/>
      <c r="AQ367" s="174"/>
      <c r="AR367" s="174"/>
      <c r="AS367" s="174"/>
      <c r="AT367" s="174"/>
      <c r="AU367" s="174"/>
      <c r="AV367" s="174"/>
      <c r="AW367" s="174"/>
      <c r="AX367" s="174"/>
      <c r="AY367" s="174"/>
      <c r="AZ367" s="174"/>
      <c r="BA367" s="174"/>
    </row>
    <row r="368" spans="4:53" ht="15"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  <c r="AA368" s="174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174"/>
      <c r="AL368" s="174"/>
      <c r="AM368" s="174"/>
      <c r="AN368" s="174"/>
      <c r="AO368" s="174"/>
      <c r="AP368" s="174"/>
      <c r="AQ368" s="174"/>
      <c r="AR368" s="174"/>
      <c r="AS368" s="174"/>
      <c r="AT368" s="174"/>
      <c r="AU368" s="174"/>
      <c r="AV368" s="174"/>
      <c r="AW368" s="174"/>
      <c r="AX368" s="174"/>
      <c r="AY368" s="174"/>
      <c r="AZ368" s="174"/>
      <c r="BA368" s="174"/>
    </row>
    <row r="369" spans="4:53" ht="15"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174"/>
      <c r="AL369" s="174"/>
      <c r="AM369" s="174"/>
      <c r="AN369" s="174"/>
      <c r="AO369" s="174"/>
      <c r="AP369" s="174"/>
      <c r="AQ369" s="174"/>
      <c r="AR369" s="174"/>
      <c r="AS369" s="174"/>
      <c r="AT369" s="174"/>
      <c r="AU369" s="174"/>
      <c r="AV369" s="174"/>
      <c r="AW369" s="174"/>
      <c r="AX369" s="174"/>
      <c r="AY369" s="174"/>
      <c r="AZ369" s="174"/>
      <c r="BA369" s="174"/>
    </row>
    <row r="370" spans="4:53" ht="15"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  <c r="AM370" s="174"/>
      <c r="AN370" s="174"/>
      <c r="AO370" s="174"/>
      <c r="AP370" s="174"/>
      <c r="AQ370" s="174"/>
      <c r="AR370" s="174"/>
      <c r="AS370" s="174"/>
      <c r="AT370" s="174"/>
      <c r="AU370" s="174"/>
      <c r="AV370" s="174"/>
      <c r="AW370" s="174"/>
      <c r="AX370" s="174"/>
      <c r="AY370" s="174"/>
      <c r="AZ370" s="174"/>
      <c r="BA370" s="174"/>
    </row>
    <row r="371" spans="4:53" ht="15"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174"/>
      <c r="AL371" s="174"/>
      <c r="AM371" s="174"/>
      <c r="AN371" s="174"/>
      <c r="AO371" s="174"/>
      <c r="AP371" s="174"/>
      <c r="AQ371" s="174"/>
      <c r="AR371" s="174"/>
      <c r="AS371" s="174"/>
      <c r="AT371" s="174"/>
      <c r="AU371" s="174"/>
      <c r="AV371" s="174"/>
      <c r="AW371" s="174"/>
      <c r="AX371" s="174"/>
      <c r="AY371" s="174"/>
      <c r="AZ371" s="174"/>
      <c r="BA371" s="174"/>
    </row>
    <row r="372" spans="4:53" ht="15"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174"/>
      <c r="AL372" s="174"/>
      <c r="AM372" s="174"/>
      <c r="AN372" s="174"/>
      <c r="AO372" s="174"/>
      <c r="AP372" s="174"/>
      <c r="AQ372" s="174"/>
      <c r="AR372" s="174"/>
      <c r="AS372" s="174"/>
      <c r="AT372" s="174"/>
      <c r="AU372" s="174"/>
      <c r="AV372" s="174"/>
      <c r="AW372" s="174"/>
      <c r="AX372" s="174"/>
      <c r="AY372" s="174"/>
      <c r="AZ372" s="174"/>
      <c r="BA372" s="174"/>
    </row>
    <row r="373" spans="4:53" ht="15"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  <c r="AL373" s="174"/>
      <c r="AM373" s="174"/>
      <c r="AN373" s="174"/>
      <c r="AO373" s="174"/>
      <c r="AP373" s="174"/>
      <c r="AQ373" s="174"/>
      <c r="AR373" s="174"/>
      <c r="AS373" s="174"/>
      <c r="AT373" s="174"/>
      <c r="AU373" s="174"/>
      <c r="AV373" s="174"/>
      <c r="AW373" s="174"/>
      <c r="AX373" s="174"/>
      <c r="AY373" s="174"/>
      <c r="AZ373" s="174"/>
      <c r="BA373" s="174"/>
    </row>
    <row r="374" spans="4:53" ht="15"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174"/>
      <c r="AL374" s="174"/>
      <c r="AM374" s="174"/>
      <c r="AN374" s="174"/>
      <c r="AO374" s="174"/>
      <c r="AP374" s="174"/>
      <c r="AQ374" s="174"/>
      <c r="AR374" s="174"/>
      <c r="AS374" s="174"/>
      <c r="AT374" s="174"/>
      <c r="AU374" s="174"/>
      <c r="AV374" s="174"/>
      <c r="AW374" s="174"/>
      <c r="AX374" s="174"/>
      <c r="AY374" s="174"/>
      <c r="AZ374" s="174"/>
      <c r="BA374" s="174"/>
    </row>
    <row r="375" spans="4:53" ht="15"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  <c r="AA375" s="174"/>
      <c r="AB375" s="174"/>
      <c r="AC375" s="174"/>
      <c r="AD375" s="174"/>
      <c r="AE375" s="174"/>
      <c r="AF375" s="174"/>
      <c r="AG375" s="174"/>
      <c r="AH375" s="174"/>
      <c r="AI375" s="174"/>
      <c r="AJ375" s="174"/>
      <c r="AK375" s="174"/>
      <c r="AL375" s="174"/>
      <c r="AM375" s="174"/>
      <c r="AN375" s="174"/>
      <c r="AO375" s="174"/>
      <c r="AP375" s="174"/>
      <c r="AQ375" s="174"/>
      <c r="AR375" s="174"/>
      <c r="AS375" s="174"/>
      <c r="AT375" s="174"/>
      <c r="AU375" s="174"/>
      <c r="AV375" s="174"/>
      <c r="AW375" s="174"/>
      <c r="AX375" s="174"/>
      <c r="AY375" s="174"/>
      <c r="AZ375" s="174"/>
      <c r="BA375" s="174"/>
    </row>
    <row r="376" spans="4:53" ht="15"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  <c r="AA376" s="174"/>
      <c r="AB376" s="174"/>
      <c r="AC376" s="174"/>
      <c r="AD376" s="174"/>
      <c r="AE376" s="174"/>
      <c r="AF376" s="174"/>
      <c r="AG376" s="174"/>
      <c r="AH376" s="174"/>
      <c r="AI376" s="174"/>
      <c r="AJ376" s="174"/>
      <c r="AK376" s="174"/>
      <c r="AL376" s="174"/>
      <c r="AM376" s="174"/>
      <c r="AN376" s="174"/>
      <c r="AO376" s="174"/>
      <c r="AP376" s="174"/>
      <c r="AQ376" s="174"/>
      <c r="AR376" s="174"/>
      <c r="AS376" s="174"/>
      <c r="AT376" s="174"/>
      <c r="AU376" s="174"/>
      <c r="AV376" s="174"/>
      <c r="AW376" s="174"/>
      <c r="AX376" s="174"/>
      <c r="AY376" s="174"/>
      <c r="AZ376" s="174"/>
      <c r="BA376" s="174"/>
    </row>
    <row r="377" spans="4:53" ht="15"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  <c r="AA377" s="174"/>
      <c r="AB377" s="174"/>
      <c r="AC377" s="174"/>
      <c r="AD377" s="174"/>
      <c r="AE377" s="174"/>
      <c r="AF377" s="174"/>
      <c r="AG377" s="174"/>
      <c r="AH377" s="174"/>
      <c r="AI377" s="174"/>
      <c r="AJ377" s="174"/>
      <c r="AK377" s="174"/>
      <c r="AL377" s="174"/>
      <c r="AM377" s="174"/>
      <c r="AN377" s="174"/>
      <c r="AO377" s="174"/>
      <c r="AP377" s="174"/>
      <c r="AQ377" s="174"/>
      <c r="AR377" s="174"/>
      <c r="AS377" s="174"/>
      <c r="AT377" s="174"/>
      <c r="AU377" s="174"/>
      <c r="AV377" s="174"/>
      <c r="AW377" s="174"/>
      <c r="AX377" s="174"/>
      <c r="AY377" s="174"/>
      <c r="AZ377" s="174"/>
      <c r="BA377" s="174"/>
    </row>
    <row r="378" spans="4:53" ht="15"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  <c r="AA378" s="174"/>
      <c r="AB378" s="174"/>
      <c r="AC378" s="174"/>
      <c r="AD378" s="174"/>
      <c r="AE378" s="174"/>
      <c r="AF378" s="174"/>
      <c r="AG378" s="174"/>
      <c r="AH378" s="174"/>
      <c r="AI378" s="174"/>
      <c r="AJ378" s="174"/>
      <c r="AK378" s="174"/>
      <c r="AL378" s="174"/>
      <c r="AM378" s="174"/>
      <c r="AN378" s="174"/>
      <c r="AO378" s="174"/>
      <c r="AP378" s="174"/>
      <c r="AQ378" s="174"/>
      <c r="AR378" s="174"/>
      <c r="AS378" s="174"/>
      <c r="AT378" s="174"/>
      <c r="AU378" s="174"/>
      <c r="AV378" s="174"/>
      <c r="AW378" s="174"/>
      <c r="AX378" s="174"/>
      <c r="AY378" s="174"/>
      <c r="AZ378" s="174"/>
      <c r="BA378" s="174"/>
    </row>
    <row r="379" spans="4:53" ht="15"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  <c r="AA379" s="174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174"/>
      <c r="AL379" s="174"/>
      <c r="AM379" s="174"/>
      <c r="AN379" s="174"/>
      <c r="AO379" s="174"/>
      <c r="AP379" s="174"/>
      <c r="AQ379" s="174"/>
      <c r="AR379" s="174"/>
      <c r="AS379" s="174"/>
      <c r="AT379" s="174"/>
      <c r="AU379" s="174"/>
      <c r="AV379" s="174"/>
      <c r="AW379" s="174"/>
      <c r="AX379" s="174"/>
      <c r="AY379" s="174"/>
      <c r="AZ379" s="174"/>
      <c r="BA379" s="174"/>
    </row>
    <row r="380" spans="4:53" ht="15"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  <c r="AA380" s="174"/>
      <c r="AB380" s="174"/>
      <c r="AC380" s="174"/>
      <c r="AD380" s="174"/>
      <c r="AE380" s="174"/>
      <c r="AF380" s="174"/>
      <c r="AG380" s="174"/>
      <c r="AH380" s="174"/>
      <c r="AI380" s="174"/>
      <c r="AJ380" s="174"/>
      <c r="AK380" s="174"/>
      <c r="AL380" s="174"/>
      <c r="AM380" s="174"/>
      <c r="AN380" s="174"/>
      <c r="AO380" s="174"/>
      <c r="AP380" s="174"/>
      <c r="AQ380" s="174"/>
      <c r="AR380" s="174"/>
      <c r="AS380" s="174"/>
      <c r="AT380" s="174"/>
      <c r="AU380" s="174"/>
      <c r="AV380" s="174"/>
      <c r="AW380" s="174"/>
      <c r="AX380" s="174"/>
      <c r="AY380" s="174"/>
      <c r="AZ380" s="174"/>
      <c r="BA380" s="174"/>
    </row>
    <row r="381" spans="4:53" ht="15"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174"/>
      <c r="AL381" s="174"/>
      <c r="AM381" s="174"/>
      <c r="AN381" s="174"/>
      <c r="AO381" s="174"/>
      <c r="AP381" s="174"/>
      <c r="AQ381" s="174"/>
      <c r="AR381" s="174"/>
      <c r="AS381" s="174"/>
      <c r="AT381" s="174"/>
      <c r="AU381" s="174"/>
      <c r="AV381" s="174"/>
      <c r="AW381" s="174"/>
      <c r="AX381" s="174"/>
      <c r="AY381" s="174"/>
      <c r="AZ381" s="174"/>
      <c r="BA381" s="174"/>
    </row>
    <row r="382" spans="4:53" ht="15"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174"/>
      <c r="AL382" s="174"/>
      <c r="AM382" s="174"/>
      <c r="AN382" s="174"/>
      <c r="AO382" s="174"/>
      <c r="AP382" s="174"/>
      <c r="AQ382" s="174"/>
      <c r="AR382" s="174"/>
      <c r="AS382" s="174"/>
      <c r="AT382" s="174"/>
      <c r="AU382" s="174"/>
      <c r="AV382" s="174"/>
      <c r="AW382" s="174"/>
      <c r="AX382" s="174"/>
      <c r="AY382" s="174"/>
      <c r="AZ382" s="174"/>
      <c r="BA382" s="174"/>
    </row>
    <row r="383" spans="4:53" ht="15"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/>
      <c r="AM383" s="174"/>
      <c r="AN383" s="174"/>
      <c r="AO383" s="174"/>
      <c r="AP383" s="174"/>
      <c r="AQ383" s="174"/>
      <c r="AR383" s="174"/>
      <c r="AS383" s="174"/>
      <c r="AT383" s="174"/>
      <c r="AU383" s="174"/>
      <c r="AV383" s="174"/>
      <c r="AW383" s="174"/>
      <c r="AX383" s="174"/>
      <c r="AY383" s="174"/>
      <c r="AZ383" s="174"/>
      <c r="BA383" s="174"/>
    </row>
    <row r="384" spans="4:53" ht="15"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174"/>
      <c r="AN384" s="174"/>
      <c r="AO384" s="174"/>
      <c r="AP384" s="174"/>
      <c r="AQ384" s="174"/>
      <c r="AR384" s="174"/>
      <c r="AS384" s="174"/>
      <c r="AT384" s="174"/>
      <c r="AU384" s="174"/>
      <c r="AV384" s="174"/>
      <c r="AW384" s="174"/>
      <c r="AX384" s="174"/>
      <c r="AY384" s="174"/>
      <c r="AZ384" s="174"/>
      <c r="BA384" s="174"/>
    </row>
    <row r="385" spans="4:53" ht="15"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  <c r="AL385" s="174"/>
      <c r="AM385" s="174"/>
      <c r="AN385" s="174"/>
      <c r="AO385" s="174"/>
      <c r="AP385" s="174"/>
      <c r="AQ385" s="174"/>
      <c r="AR385" s="174"/>
      <c r="AS385" s="174"/>
      <c r="AT385" s="174"/>
      <c r="AU385" s="174"/>
      <c r="AV385" s="174"/>
      <c r="AW385" s="174"/>
      <c r="AX385" s="174"/>
      <c r="AY385" s="174"/>
      <c r="AZ385" s="174"/>
      <c r="BA385" s="174"/>
    </row>
    <row r="386" spans="4:53" ht="15"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  <c r="AM386" s="174"/>
      <c r="AN386" s="174"/>
      <c r="AO386" s="174"/>
      <c r="AP386" s="174"/>
      <c r="AQ386" s="174"/>
      <c r="AR386" s="174"/>
      <c r="AS386" s="174"/>
      <c r="AT386" s="174"/>
      <c r="AU386" s="174"/>
      <c r="AV386" s="174"/>
      <c r="AW386" s="174"/>
      <c r="AX386" s="174"/>
      <c r="AY386" s="174"/>
      <c r="AZ386" s="174"/>
      <c r="BA386" s="174"/>
    </row>
    <row r="387" spans="4:53" ht="15"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174"/>
      <c r="AL387" s="174"/>
      <c r="AM387" s="174"/>
      <c r="AN387" s="174"/>
      <c r="AO387" s="174"/>
      <c r="AP387" s="174"/>
      <c r="AQ387" s="174"/>
      <c r="AR387" s="174"/>
      <c r="AS387" s="174"/>
      <c r="AT387" s="174"/>
      <c r="AU387" s="174"/>
      <c r="AV387" s="174"/>
      <c r="AW387" s="174"/>
      <c r="AX387" s="174"/>
      <c r="AY387" s="174"/>
      <c r="AZ387" s="174"/>
      <c r="BA387" s="174"/>
    </row>
    <row r="388" spans="4:53" ht="15"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  <c r="AL388" s="174"/>
      <c r="AM388" s="174"/>
      <c r="AN388" s="174"/>
      <c r="AO388" s="174"/>
      <c r="AP388" s="174"/>
      <c r="AQ388" s="174"/>
      <c r="AR388" s="174"/>
      <c r="AS388" s="174"/>
      <c r="AT388" s="174"/>
      <c r="AU388" s="174"/>
      <c r="AV388" s="174"/>
      <c r="AW388" s="174"/>
      <c r="AX388" s="174"/>
      <c r="AY388" s="174"/>
      <c r="AZ388" s="174"/>
      <c r="BA388" s="174"/>
    </row>
    <row r="389" spans="4:53" ht="15"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  <c r="AM389" s="174"/>
      <c r="AN389" s="174"/>
      <c r="AO389" s="174"/>
      <c r="AP389" s="174"/>
      <c r="AQ389" s="174"/>
      <c r="AR389" s="174"/>
      <c r="AS389" s="174"/>
      <c r="AT389" s="174"/>
      <c r="AU389" s="174"/>
      <c r="AV389" s="174"/>
      <c r="AW389" s="174"/>
      <c r="AX389" s="174"/>
      <c r="AY389" s="174"/>
      <c r="AZ389" s="174"/>
      <c r="BA389" s="174"/>
    </row>
    <row r="390" spans="4:53" ht="15"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174"/>
      <c r="AF390" s="174"/>
      <c r="AG390" s="174"/>
      <c r="AH390" s="174"/>
      <c r="AI390" s="174"/>
      <c r="AJ390" s="174"/>
      <c r="AK390" s="174"/>
      <c r="AL390" s="174"/>
      <c r="AM390" s="174"/>
      <c r="AN390" s="174"/>
      <c r="AO390" s="174"/>
      <c r="AP390" s="174"/>
      <c r="AQ390" s="174"/>
      <c r="AR390" s="174"/>
      <c r="AS390" s="174"/>
      <c r="AT390" s="174"/>
      <c r="AU390" s="174"/>
      <c r="AV390" s="174"/>
      <c r="AW390" s="174"/>
      <c r="AX390" s="174"/>
      <c r="AY390" s="174"/>
      <c r="AZ390" s="174"/>
      <c r="BA390" s="174"/>
    </row>
    <row r="391" spans="4:53" ht="15"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174"/>
      <c r="AF391" s="174"/>
      <c r="AG391" s="174"/>
      <c r="AH391" s="174"/>
      <c r="AI391" s="174"/>
      <c r="AJ391" s="174"/>
      <c r="AK391" s="174"/>
      <c r="AL391" s="174"/>
      <c r="AM391" s="174"/>
      <c r="AN391" s="174"/>
      <c r="AO391" s="174"/>
      <c r="AP391" s="174"/>
      <c r="AQ391" s="174"/>
      <c r="AR391" s="174"/>
      <c r="AS391" s="174"/>
      <c r="AT391" s="174"/>
      <c r="AU391" s="174"/>
      <c r="AV391" s="174"/>
      <c r="AW391" s="174"/>
      <c r="AX391" s="174"/>
      <c r="AY391" s="174"/>
      <c r="AZ391" s="174"/>
      <c r="BA391" s="174"/>
    </row>
    <row r="392" spans="4:53" ht="15"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4"/>
      <c r="AK392" s="174"/>
      <c r="AL392" s="174"/>
      <c r="AM392" s="174"/>
      <c r="AN392" s="174"/>
      <c r="AO392" s="174"/>
      <c r="AP392" s="174"/>
      <c r="AQ392" s="174"/>
      <c r="AR392" s="174"/>
      <c r="AS392" s="174"/>
      <c r="AT392" s="174"/>
      <c r="AU392" s="174"/>
      <c r="AV392" s="174"/>
      <c r="AW392" s="174"/>
      <c r="AX392" s="174"/>
      <c r="AY392" s="174"/>
      <c r="AZ392" s="174"/>
      <c r="BA392" s="174"/>
    </row>
    <row r="393" spans="4:53" ht="15"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4"/>
      <c r="AK393" s="174"/>
      <c r="AL393" s="174"/>
      <c r="AM393" s="174"/>
      <c r="AN393" s="174"/>
      <c r="AO393" s="174"/>
      <c r="AP393" s="174"/>
      <c r="AQ393" s="174"/>
      <c r="AR393" s="174"/>
      <c r="AS393" s="174"/>
      <c r="AT393" s="174"/>
      <c r="AU393" s="174"/>
      <c r="AV393" s="174"/>
      <c r="AW393" s="174"/>
      <c r="AX393" s="174"/>
      <c r="AY393" s="174"/>
      <c r="AZ393" s="174"/>
      <c r="BA393" s="174"/>
    </row>
    <row r="394" spans="4:53" ht="15"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174"/>
      <c r="AL394" s="174"/>
      <c r="AM394" s="174"/>
      <c r="AN394" s="174"/>
      <c r="AO394" s="174"/>
      <c r="AP394" s="174"/>
      <c r="AQ394" s="174"/>
      <c r="AR394" s="174"/>
      <c r="AS394" s="174"/>
      <c r="AT394" s="174"/>
      <c r="AU394" s="174"/>
      <c r="AV394" s="174"/>
      <c r="AW394" s="174"/>
      <c r="AX394" s="174"/>
      <c r="AY394" s="174"/>
      <c r="AZ394" s="174"/>
      <c r="BA394" s="174"/>
    </row>
    <row r="395" spans="4:53" ht="15"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  <c r="AG395" s="174"/>
      <c r="AH395" s="174"/>
      <c r="AI395" s="174"/>
      <c r="AJ395" s="174"/>
      <c r="AK395" s="174"/>
      <c r="AL395" s="174"/>
      <c r="AM395" s="174"/>
      <c r="AN395" s="174"/>
      <c r="AO395" s="174"/>
      <c r="AP395" s="174"/>
      <c r="AQ395" s="174"/>
      <c r="AR395" s="174"/>
      <c r="AS395" s="174"/>
      <c r="AT395" s="174"/>
      <c r="AU395" s="174"/>
      <c r="AV395" s="174"/>
      <c r="AW395" s="174"/>
      <c r="AX395" s="174"/>
      <c r="AY395" s="174"/>
      <c r="AZ395" s="174"/>
      <c r="BA395" s="174"/>
    </row>
    <row r="396" spans="4:53" ht="15"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  <c r="AL396" s="174"/>
      <c r="AM396" s="174"/>
      <c r="AN396" s="174"/>
      <c r="AO396" s="174"/>
      <c r="AP396" s="174"/>
      <c r="AQ396" s="174"/>
      <c r="AR396" s="174"/>
      <c r="AS396" s="174"/>
      <c r="AT396" s="174"/>
      <c r="AU396" s="174"/>
      <c r="AV396" s="174"/>
      <c r="AW396" s="174"/>
      <c r="AX396" s="174"/>
      <c r="AY396" s="174"/>
      <c r="AZ396" s="174"/>
      <c r="BA396" s="174"/>
    </row>
    <row r="397" spans="4:53" ht="15"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4"/>
      <c r="AK397" s="174"/>
      <c r="AL397" s="174"/>
      <c r="AM397" s="174"/>
      <c r="AN397" s="174"/>
      <c r="AO397" s="174"/>
      <c r="AP397" s="174"/>
      <c r="AQ397" s="174"/>
      <c r="AR397" s="174"/>
      <c r="AS397" s="174"/>
      <c r="AT397" s="174"/>
      <c r="AU397" s="174"/>
      <c r="AV397" s="174"/>
      <c r="AW397" s="174"/>
      <c r="AX397" s="174"/>
      <c r="AY397" s="174"/>
      <c r="AZ397" s="174"/>
      <c r="BA397" s="174"/>
    </row>
    <row r="398" spans="4:53" ht="15"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4"/>
      <c r="AK398" s="174"/>
      <c r="AL398" s="174"/>
      <c r="AM398" s="174"/>
      <c r="AN398" s="174"/>
      <c r="AO398" s="174"/>
      <c r="AP398" s="174"/>
      <c r="AQ398" s="174"/>
      <c r="AR398" s="174"/>
      <c r="AS398" s="174"/>
      <c r="AT398" s="174"/>
      <c r="AU398" s="174"/>
      <c r="AV398" s="174"/>
      <c r="AW398" s="174"/>
      <c r="AX398" s="174"/>
      <c r="AY398" s="174"/>
      <c r="AZ398" s="174"/>
      <c r="BA398" s="174"/>
    </row>
    <row r="399" spans="4:53" ht="15"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  <c r="AL399" s="174"/>
      <c r="AM399" s="174"/>
      <c r="AN399" s="174"/>
      <c r="AO399" s="174"/>
      <c r="AP399" s="174"/>
      <c r="AQ399" s="174"/>
      <c r="AR399" s="174"/>
      <c r="AS399" s="174"/>
      <c r="AT399" s="174"/>
      <c r="AU399" s="174"/>
      <c r="AV399" s="174"/>
      <c r="AW399" s="174"/>
      <c r="AX399" s="174"/>
      <c r="AY399" s="174"/>
      <c r="AZ399" s="174"/>
      <c r="BA399" s="174"/>
    </row>
    <row r="400" spans="4:53" ht="15"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  <c r="AL400" s="174"/>
      <c r="AM400" s="174"/>
      <c r="AN400" s="174"/>
      <c r="AO400" s="174"/>
      <c r="AP400" s="174"/>
      <c r="AQ400" s="174"/>
      <c r="AR400" s="174"/>
      <c r="AS400" s="174"/>
      <c r="AT400" s="174"/>
      <c r="AU400" s="174"/>
      <c r="AV400" s="174"/>
      <c r="AW400" s="174"/>
      <c r="AX400" s="174"/>
      <c r="AY400" s="174"/>
      <c r="AZ400" s="174"/>
      <c r="BA400" s="174"/>
    </row>
    <row r="401" spans="4:53" ht="15"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174"/>
      <c r="AL401" s="174"/>
      <c r="AM401" s="174"/>
      <c r="AN401" s="174"/>
      <c r="AO401" s="174"/>
      <c r="AP401" s="174"/>
      <c r="AQ401" s="174"/>
      <c r="AR401" s="174"/>
      <c r="AS401" s="174"/>
      <c r="AT401" s="174"/>
      <c r="AU401" s="174"/>
      <c r="AV401" s="174"/>
      <c r="AW401" s="174"/>
      <c r="AX401" s="174"/>
      <c r="AY401" s="174"/>
      <c r="AZ401" s="174"/>
      <c r="BA401" s="174"/>
    </row>
    <row r="402" spans="4:53" ht="15"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/>
      <c r="AQ402" s="174"/>
      <c r="AR402" s="174"/>
      <c r="AS402" s="174"/>
      <c r="AT402" s="174"/>
      <c r="AU402" s="174"/>
      <c r="AV402" s="174"/>
      <c r="AW402" s="174"/>
      <c r="AX402" s="174"/>
      <c r="AY402" s="174"/>
      <c r="AZ402" s="174"/>
      <c r="BA402" s="174"/>
    </row>
    <row r="403" spans="4:53" ht="15"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74"/>
      <c r="AS403" s="174"/>
      <c r="AT403" s="174"/>
      <c r="AU403" s="174"/>
      <c r="AV403" s="174"/>
      <c r="AW403" s="174"/>
      <c r="AX403" s="174"/>
      <c r="AY403" s="174"/>
      <c r="AZ403" s="174"/>
      <c r="BA403" s="174"/>
    </row>
  </sheetData>
  <sheetProtection password="DF35" sheet="1" objects="1" scenarios="1"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140625" defaultRowHeight="12.75"/>
  <cols>
    <col min="1" max="1" width="6.421875" style="1" bestFit="1" customWidth="1"/>
    <col min="2" max="2" width="8.00390625" style="1" bestFit="1" customWidth="1"/>
    <col min="3" max="3" width="7.8515625" style="5" bestFit="1" customWidth="1"/>
    <col min="4" max="4" width="9.421875" style="1" customWidth="1"/>
    <col min="5" max="5" width="12.28125" style="1" hidden="1" customWidth="1"/>
    <col min="6" max="6" width="11.57421875" style="1" hidden="1" customWidth="1"/>
    <col min="7" max="7" width="12.57421875" style="1" customWidth="1"/>
    <col min="8" max="8" width="10.28125" style="1" bestFit="1" customWidth="1"/>
    <col min="9" max="9" width="12.28125" style="1" bestFit="1" customWidth="1"/>
    <col min="10" max="10" width="11.57421875" style="1" bestFit="1" customWidth="1"/>
    <col min="11" max="11" width="10.28125" style="1" bestFit="1" customWidth="1"/>
    <col min="12" max="12" width="12.28125" style="1" bestFit="1" customWidth="1"/>
    <col min="13" max="13" width="11.57421875" style="1" bestFit="1" customWidth="1"/>
    <col min="14" max="14" width="11.57421875" style="1" customWidth="1"/>
    <col min="15" max="15" width="10.28125" style="1" bestFit="1" customWidth="1"/>
    <col min="16" max="16" width="13.57421875" style="1" bestFit="1" customWidth="1"/>
    <col min="17" max="17" width="11.57421875" style="1" customWidth="1"/>
    <col min="18" max="18" width="12.28125" style="1" bestFit="1" customWidth="1"/>
    <col min="19" max="21" width="11.57421875" style="1" customWidth="1"/>
    <col min="22" max="22" width="13.57421875" style="1" bestFit="1" customWidth="1"/>
    <col min="23" max="23" width="9.28125" style="1" customWidth="1"/>
    <col min="24" max="24" width="10.28125" style="1" bestFit="1" customWidth="1"/>
    <col min="25" max="25" width="2.00390625" style="1" customWidth="1"/>
    <col min="26" max="26" width="13.8515625" style="1" customWidth="1"/>
    <col min="27" max="27" width="11.57421875" style="1" bestFit="1" customWidth="1"/>
    <col min="28" max="16384" width="9.140625" style="1" customWidth="1"/>
  </cols>
  <sheetData>
    <row r="1" spans="1:24" ht="16.5" thickBot="1">
      <c r="A1" s="414"/>
      <c r="B1" s="415"/>
      <c r="C1" s="595"/>
      <c r="D1" s="415"/>
      <c r="E1" s="415"/>
      <c r="F1" s="415"/>
      <c r="G1" s="415"/>
      <c r="H1" s="415"/>
      <c r="I1" s="415"/>
      <c r="J1" s="415"/>
      <c r="K1" s="416" t="s">
        <v>22</v>
      </c>
      <c r="L1" s="415" t="s">
        <v>285</v>
      </c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7"/>
    </row>
    <row r="2" ht="15.75" thickBot="1"/>
    <row r="3" spans="1:27" ht="16.5" thickBot="1">
      <c r="A3" s="18"/>
      <c r="B3" s="19"/>
      <c r="C3" s="9"/>
      <c r="D3" s="59"/>
      <c r="E3" s="19"/>
      <c r="F3" s="19"/>
      <c r="G3" s="218" t="s">
        <v>135</v>
      </c>
      <c r="H3" s="219"/>
      <c r="I3" s="219"/>
      <c r="J3" s="219"/>
      <c r="K3" s="219"/>
      <c r="L3" s="219"/>
      <c r="M3" s="219"/>
      <c r="N3" s="219"/>
      <c r="O3" s="219"/>
      <c r="P3" s="16" t="s">
        <v>49</v>
      </c>
      <c r="Q3" s="10"/>
      <c r="R3" s="10"/>
      <c r="S3" s="10"/>
      <c r="T3" s="10"/>
      <c r="U3" s="10"/>
      <c r="V3" s="10"/>
      <c r="W3" s="10"/>
      <c r="X3" s="384"/>
      <c r="Z3" s="18"/>
      <c r="AA3" s="59"/>
    </row>
    <row r="4" spans="1:27" s="5" customFormat="1" ht="15.75">
      <c r="A4" s="521"/>
      <c r="B4" s="522"/>
      <c r="C4" s="522"/>
      <c r="D4" s="440" t="s">
        <v>19</v>
      </c>
      <c r="E4" s="337"/>
      <c r="F4" s="337"/>
      <c r="G4" s="362">
        <v>0.0375</v>
      </c>
      <c r="H4" s="216" t="s">
        <v>195</v>
      </c>
      <c r="I4" s="216"/>
      <c r="J4" s="216">
        <v>0.03</v>
      </c>
      <c r="K4" s="216" t="s">
        <v>194</v>
      </c>
      <c r="L4" s="216"/>
      <c r="M4" s="220"/>
      <c r="N4" s="221" t="s">
        <v>249</v>
      </c>
      <c r="O4" s="221" t="s">
        <v>2</v>
      </c>
      <c r="P4" s="361">
        <v>0.0375</v>
      </c>
      <c r="Q4" s="171" t="s">
        <v>195</v>
      </c>
      <c r="R4" s="224"/>
      <c r="S4" s="171">
        <v>0.03</v>
      </c>
      <c r="T4" s="171" t="s">
        <v>194</v>
      </c>
      <c r="U4" s="224"/>
      <c r="V4" s="223"/>
      <c r="W4" s="223" t="s">
        <v>187</v>
      </c>
      <c r="X4" s="282"/>
      <c r="Z4" s="227" t="s">
        <v>198</v>
      </c>
      <c r="AA4" s="205"/>
    </row>
    <row r="5" spans="1:27" s="5" customFormat="1" ht="16.5" thickBot="1">
      <c r="A5" s="523" t="s">
        <v>23</v>
      </c>
      <c r="B5" s="524"/>
      <c r="C5" s="524" t="s">
        <v>24</v>
      </c>
      <c r="D5" s="525" t="s">
        <v>250</v>
      </c>
      <c r="E5" s="338"/>
      <c r="F5" s="338"/>
      <c r="G5" s="222" t="s">
        <v>32</v>
      </c>
      <c r="H5" s="217" t="s">
        <v>21</v>
      </c>
      <c r="I5" s="217" t="s">
        <v>244</v>
      </c>
      <c r="J5" s="217" t="s">
        <v>194</v>
      </c>
      <c r="K5" s="217" t="s">
        <v>21</v>
      </c>
      <c r="L5" s="217" t="s">
        <v>244</v>
      </c>
      <c r="M5" s="217" t="s">
        <v>2</v>
      </c>
      <c r="N5" s="217" t="s">
        <v>251</v>
      </c>
      <c r="O5" s="217" t="s">
        <v>21</v>
      </c>
      <c r="P5" s="17" t="s">
        <v>32</v>
      </c>
      <c r="Q5" s="13" t="s">
        <v>21</v>
      </c>
      <c r="R5" s="13" t="s">
        <v>244</v>
      </c>
      <c r="S5" s="13" t="s">
        <v>194</v>
      </c>
      <c r="T5" s="13" t="s">
        <v>21</v>
      </c>
      <c r="U5" s="13" t="s">
        <v>244</v>
      </c>
      <c r="V5" s="13" t="s">
        <v>2</v>
      </c>
      <c r="W5" s="13" t="s">
        <v>187</v>
      </c>
      <c r="X5" s="14" t="s">
        <v>21</v>
      </c>
      <c r="Z5" s="228" t="s">
        <v>21</v>
      </c>
      <c r="AA5" s="205"/>
    </row>
    <row r="6" spans="1:27" ht="15">
      <c r="A6" s="18"/>
      <c r="B6" s="19"/>
      <c r="C6" s="9"/>
      <c r="D6" s="59"/>
      <c r="E6" s="339"/>
      <c r="F6" s="339"/>
      <c r="G6" s="226"/>
      <c r="H6" s="226"/>
      <c r="I6" s="226"/>
      <c r="J6" s="226"/>
      <c r="K6" s="226"/>
      <c r="L6" s="226"/>
      <c r="M6" s="226"/>
      <c r="N6" s="226"/>
      <c r="O6" s="226"/>
      <c r="P6" s="18"/>
      <c r="Q6" s="19"/>
      <c r="R6" s="19"/>
      <c r="S6" s="19"/>
      <c r="T6" s="19" t="s">
        <v>1</v>
      </c>
      <c r="U6" s="19"/>
      <c r="V6" s="19"/>
      <c r="W6" s="19"/>
      <c r="X6" s="283"/>
      <c r="Z6" s="18"/>
      <c r="AA6" s="99"/>
    </row>
    <row r="7" spans="1:27" ht="15">
      <c r="A7" s="20">
        <v>2009</v>
      </c>
      <c r="B7" s="136" t="s">
        <v>293</v>
      </c>
      <c r="C7" s="333">
        <v>54</v>
      </c>
      <c r="D7" s="340">
        <v>0</v>
      </c>
      <c r="E7" s="335">
        <v>0</v>
      </c>
      <c r="F7" s="335">
        <v>0</v>
      </c>
      <c r="G7" s="53">
        <v>26000</v>
      </c>
      <c r="H7" s="53">
        <v>975</v>
      </c>
      <c r="I7" s="53">
        <v>0</v>
      </c>
      <c r="J7" s="53">
        <v>26000</v>
      </c>
      <c r="K7" s="53">
        <v>780</v>
      </c>
      <c r="L7" s="53">
        <v>0</v>
      </c>
      <c r="M7" s="53">
        <v>53755</v>
      </c>
      <c r="N7" s="53"/>
      <c r="O7" s="53">
        <v>1755</v>
      </c>
      <c r="P7" s="172">
        <v>20000</v>
      </c>
      <c r="Q7" s="53">
        <v>750</v>
      </c>
      <c r="R7" s="53">
        <v>1908.0921983487788</v>
      </c>
      <c r="S7" s="53">
        <v>26000</v>
      </c>
      <c r="T7" s="53">
        <v>1241.78081014555</v>
      </c>
      <c r="U7" s="53">
        <v>0</v>
      </c>
      <c r="V7" s="53">
        <v>46083.68861179677</v>
      </c>
      <c r="W7" s="53">
        <v>0</v>
      </c>
      <c r="X7" s="54">
        <v>1991.78081014555</v>
      </c>
      <c r="Y7" s="4"/>
      <c r="Z7" s="172">
        <v>-1908.0921983487788</v>
      </c>
      <c r="AA7" s="54">
        <v>1908.0921983487788</v>
      </c>
    </row>
    <row r="8" spans="1:27" ht="15">
      <c r="A8" s="20">
        <v>2010</v>
      </c>
      <c r="B8" s="21"/>
      <c r="C8" s="333">
        <v>55</v>
      </c>
      <c r="D8" s="340">
        <v>0</v>
      </c>
      <c r="E8" s="335">
        <v>0</v>
      </c>
      <c r="F8" s="335">
        <v>0</v>
      </c>
      <c r="G8" s="53">
        <v>26975</v>
      </c>
      <c r="H8" s="53">
        <v>1011.5625</v>
      </c>
      <c r="I8" s="53">
        <v>0</v>
      </c>
      <c r="J8" s="53">
        <v>26780</v>
      </c>
      <c r="K8" s="53">
        <v>803.4</v>
      </c>
      <c r="L8" s="53">
        <v>0</v>
      </c>
      <c r="M8" s="53">
        <v>55569.9625</v>
      </c>
      <c r="N8" s="53"/>
      <c r="O8" s="53">
        <v>1814.9625</v>
      </c>
      <c r="P8" s="172">
        <v>18841.90780165122</v>
      </c>
      <c r="Q8" s="53">
        <v>706.5715425619208</v>
      </c>
      <c r="R8" s="53">
        <v>1765.1647510288021</v>
      </c>
      <c r="S8" s="53">
        <v>27241.78081014555</v>
      </c>
      <c r="T8" s="53">
        <v>1148.225016673828</v>
      </c>
      <c r="U8" s="53">
        <v>0</v>
      </c>
      <c r="V8" s="53">
        <v>46173.32042000372</v>
      </c>
      <c r="W8" s="53">
        <v>0</v>
      </c>
      <c r="X8" s="54">
        <v>1854.7965592357486</v>
      </c>
      <c r="Y8" s="4"/>
      <c r="Z8" s="172">
        <v>-1765.1647510288021</v>
      </c>
      <c r="AA8" s="54">
        <v>1765.1647510288021</v>
      </c>
    </row>
    <row r="9" spans="1:27" ht="15">
      <c r="A9" s="20">
        <v>2011</v>
      </c>
      <c r="B9" s="21"/>
      <c r="C9" s="333">
        <v>56</v>
      </c>
      <c r="D9" s="340">
        <v>0</v>
      </c>
      <c r="E9" s="335">
        <v>0</v>
      </c>
      <c r="F9" s="335">
        <v>0</v>
      </c>
      <c r="G9" s="53">
        <v>27986.5625</v>
      </c>
      <c r="H9" s="53">
        <v>1049.49609375</v>
      </c>
      <c r="I9" s="53">
        <v>0</v>
      </c>
      <c r="J9" s="53">
        <v>27583.4</v>
      </c>
      <c r="K9" s="53">
        <v>827.5020000000001</v>
      </c>
      <c r="L9" s="53">
        <v>0</v>
      </c>
      <c r="M9" s="53">
        <v>57446.96059375</v>
      </c>
      <c r="N9" s="53"/>
      <c r="O9" s="53">
        <v>1876.99809375</v>
      </c>
      <c r="P9" s="172">
        <v>17783.31459318434</v>
      </c>
      <c r="Q9" s="53">
        <v>666.8742972444127</v>
      </c>
      <c r="R9" s="53">
        <v>1660.6662418504056</v>
      </c>
      <c r="S9" s="53">
        <v>28390.005826819375</v>
      </c>
      <c r="T9" s="53">
        <v>1189.9172051205767</v>
      </c>
      <c r="U9" s="53">
        <v>0</v>
      </c>
      <c r="V9" s="53">
        <v>46369.44568051829</v>
      </c>
      <c r="W9" s="53">
        <v>0</v>
      </c>
      <c r="X9" s="54">
        <v>1856.7915023649894</v>
      </c>
      <c r="Y9" s="4"/>
      <c r="Z9" s="172">
        <v>-1660.6662418504056</v>
      </c>
      <c r="AA9" s="54">
        <v>1660.6662418504056</v>
      </c>
    </row>
    <row r="10" spans="1:27" ht="15">
      <c r="A10" s="20">
        <v>2012</v>
      </c>
      <c r="B10" s="21"/>
      <c r="C10" s="333">
        <v>57</v>
      </c>
      <c r="D10" s="340">
        <v>0</v>
      </c>
      <c r="E10" s="335">
        <v>0</v>
      </c>
      <c r="F10" s="335">
        <v>0</v>
      </c>
      <c r="G10" s="53">
        <v>29036.05859375</v>
      </c>
      <c r="H10" s="53">
        <v>1088.852197265625</v>
      </c>
      <c r="I10" s="53">
        <v>0</v>
      </c>
      <c r="J10" s="53">
        <v>28410.902000000002</v>
      </c>
      <c r="K10" s="53">
        <v>852.3270600000001</v>
      </c>
      <c r="L10" s="53">
        <v>0</v>
      </c>
      <c r="M10" s="53">
        <v>59388.13985101563</v>
      </c>
      <c r="N10" s="53"/>
      <c r="O10" s="53">
        <v>1941.179257265625</v>
      </c>
      <c r="P10" s="172">
        <v>16789.522648578346</v>
      </c>
      <c r="Q10" s="53">
        <v>629.607099321688</v>
      </c>
      <c r="R10" s="53">
        <v>0</v>
      </c>
      <c r="S10" s="53">
        <v>29579.92303193995</v>
      </c>
      <c r="T10" s="53">
        <v>1232.8975300725688</v>
      </c>
      <c r="U10" s="53">
        <v>0</v>
      </c>
      <c r="V10" s="53">
        <v>48231.95030991256</v>
      </c>
      <c r="W10" s="53">
        <v>0</v>
      </c>
      <c r="X10" s="54">
        <v>1862.5046293942569</v>
      </c>
      <c r="Y10" s="4"/>
      <c r="Z10" s="172">
        <v>6175.076353176009</v>
      </c>
      <c r="AA10" s="54">
        <v>-6175.076353176009</v>
      </c>
    </row>
    <row r="11" spans="1:27" ht="15">
      <c r="A11" s="20">
        <v>2013</v>
      </c>
      <c r="B11" s="21"/>
      <c r="C11" s="333">
        <v>58</v>
      </c>
      <c r="D11" s="340">
        <v>0</v>
      </c>
      <c r="E11" s="335">
        <v>0</v>
      </c>
      <c r="F11" s="335">
        <v>0</v>
      </c>
      <c r="G11" s="53">
        <v>30124.910791015624</v>
      </c>
      <c r="H11" s="53">
        <v>1129.6841546630858</v>
      </c>
      <c r="I11" s="53">
        <v>0</v>
      </c>
      <c r="J11" s="53">
        <v>29263.22906</v>
      </c>
      <c r="K11" s="53">
        <v>877.8968718</v>
      </c>
      <c r="L11" s="53">
        <v>0</v>
      </c>
      <c r="M11" s="53">
        <v>61395.720877478714</v>
      </c>
      <c r="N11" s="53"/>
      <c r="O11" s="53">
        <v>2007.581026463086</v>
      </c>
      <c r="P11" s="172">
        <v>17419.129747900035</v>
      </c>
      <c r="Q11" s="53">
        <v>653.2173655462512</v>
      </c>
      <c r="R11" s="53">
        <v>0</v>
      </c>
      <c r="S11" s="53">
        <v>30812.82056201252</v>
      </c>
      <c r="T11" s="53">
        <v>1276.7742009186622</v>
      </c>
      <c r="U11" s="53">
        <v>0</v>
      </c>
      <c r="V11" s="53">
        <v>50161.94187637747</v>
      </c>
      <c r="W11" s="53">
        <v>0</v>
      </c>
      <c r="X11" s="54">
        <v>1929.9915664649134</v>
      </c>
      <c r="Y11" s="4"/>
      <c r="Z11" s="172">
        <v>6238.053984693019</v>
      </c>
      <c r="AA11" s="54">
        <v>-6238.053984693019</v>
      </c>
    </row>
    <row r="12" spans="1:27" ht="15">
      <c r="A12" s="20">
        <v>2014</v>
      </c>
      <c r="B12" s="21"/>
      <c r="C12" s="333">
        <v>59</v>
      </c>
      <c r="D12" s="340">
        <v>0</v>
      </c>
      <c r="E12" s="335">
        <v>0</v>
      </c>
      <c r="F12" s="335">
        <v>0</v>
      </c>
      <c r="G12" s="53">
        <v>31254.59494567871</v>
      </c>
      <c r="H12" s="53">
        <v>1172.0473104629516</v>
      </c>
      <c r="I12" s="53">
        <v>0</v>
      </c>
      <c r="J12" s="53">
        <v>30141.1259318</v>
      </c>
      <c r="K12" s="53">
        <v>904.233777954</v>
      </c>
      <c r="L12" s="53">
        <v>0</v>
      </c>
      <c r="M12" s="53">
        <v>63472.001965895666</v>
      </c>
      <c r="N12" s="53"/>
      <c r="O12" s="53">
        <v>2076.2810884169517</v>
      </c>
      <c r="P12" s="172">
        <v>18072.347113446285</v>
      </c>
      <c r="Q12" s="53">
        <v>677.7130167542357</v>
      </c>
      <c r="R12" s="53">
        <v>0</v>
      </c>
      <c r="S12" s="53">
        <v>32089.59476293118</v>
      </c>
      <c r="T12" s="53">
        <v>1321.2861401531095</v>
      </c>
      <c r="U12" s="53">
        <v>19910.086312216343</v>
      </c>
      <c r="V12" s="53">
        <v>32250.85472106847</v>
      </c>
      <c r="W12" s="53">
        <v>0</v>
      </c>
      <c r="X12" s="54">
        <v>1998.9991569073452</v>
      </c>
      <c r="Y12" s="4"/>
      <c r="Z12" s="172">
        <v>-19910.086312216343</v>
      </c>
      <c r="AA12" s="54">
        <v>19910.086312216343</v>
      </c>
    </row>
    <row r="13" spans="1:27" ht="15">
      <c r="A13" s="20">
        <v>2015</v>
      </c>
      <c r="B13" s="21"/>
      <c r="C13" s="333">
        <v>60</v>
      </c>
      <c r="D13" s="340">
        <v>0</v>
      </c>
      <c r="E13" s="335">
        <v>0</v>
      </c>
      <c r="F13" s="335">
        <v>0</v>
      </c>
      <c r="G13" s="53">
        <v>32426.642256141662</v>
      </c>
      <c r="H13" s="53">
        <v>1215.9990846053122</v>
      </c>
      <c r="I13" s="53">
        <v>0</v>
      </c>
      <c r="J13" s="53">
        <v>31045.359709754</v>
      </c>
      <c r="K13" s="53">
        <v>931.36079129262</v>
      </c>
      <c r="L13" s="53">
        <v>0</v>
      </c>
      <c r="M13" s="53">
        <v>65619.3618417936</v>
      </c>
      <c r="N13" s="53"/>
      <c r="O13" s="53">
        <v>2147.3598758979324</v>
      </c>
      <c r="P13" s="172">
        <v>18750.06013020052</v>
      </c>
      <c r="Q13" s="53">
        <v>703.1272548825194</v>
      </c>
      <c r="R13" s="53">
        <v>0</v>
      </c>
      <c r="S13" s="53">
        <v>13500.794590867947</v>
      </c>
      <c r="T13" s="53">
        <v>405.0238377260384</v>
      </c>
      <c r="U13" s="53">
        <v>0</v>
      </c>
      <c r="V13" s="53">
        <v>33359.005813677024</v>
      </c>
      <c r="W13" s="53">
        <v>0</v>
      </c>
      <c r="X13" s="54">
        <v>1108.1510926085577</v>
      </c>
      <c r="Y13" s="4"/>
      <c r="Z13" s="172">
        <v>7500.394632925381</v>
      </c>
      <c r="AA13" s="54">
        <v>-7500.394632925381</v>
      </c>
    </row>
    <row r="14" spans="1:27" ht="15">
      <c r="A14" s="20">
        <v>2016</v>
      </c>
      <c r="B14" s="21"/>
      <c r="C14" s="333">
        <v>61</v>
      </c>
      <c r="D14" s="340">
        <v>0</v>
      </c>
      <c r="E14" s="335">
        <v>0</v>
      </c>
      <c r="F14" s="335">
        <v>0</v>
      </c>
      <c r="G14" s="53">
        <v>33642.64134074697</v>
      </c>
      <c r="H14" s="53">
        <v>1261.5990502780114</v>
      </c>
      <c r="I14" s="53">
        <v>0</v>
      </c>
      <c r="J14" s="53">
        <v>31976.72050104662</v>
      </c>
      <c r="K14" s="53">
        <v>959.3016150313986</v>
      </c>
      <c r="L14" s="53">
        <v>0</v>
      </c>
      <c r="M14" s="53">
        <v>67840.26250710299</v>
      </c>
      <c r="N14" s="53"/>
      <c r="O14" s="53">
        <v>2220.90066530941</v>
      </c>
      <c r="P14" s="172">
        <v>19453.187385083038</v>
      </c>
      <c r="Q14" s="53">
        <v>729.4945269406139</v>
      </c>
      <c r="R14" s="53">
        <v>0</v>
      </c>
      <c r="S14" s="53">
        <v>13905.818428593984</v>
      </c>
      <c r="T14" s="53">
        <v>417.1745528578195</v>
      </c>
      <c r="U14" s="53">
        <v>0</v>
      </c>
      <c r="V14" s="53">
        <v>34505.67489347545</v>
      </c>
      <c r="W14" s="53">
        <v>0</v>
      </c>
      <c r="X14" s="54">
        <v>1146.6690797984334</v>
      </c>
      <c r="Y14" s="4"/>
      <c r="Z14" s="172">
        <v>7557.529878995891</v>
      </c>
      <c r="AA14" s="54">
        <v>-7557.529878995891</v>
      </c>
    </row>
    <row r="15" spans="1:27" ht="15">
      <c r="A15" s="20">
        <v>2017</v>
      </c>
      <c r="B15" s="21"/>
      <c r="C15" s="333">
        <v>62</v>
      </c>
      <c r="D15" s="340">
        <v>0</v>
      </c>
      <c r="E15" s="335">
        <v>0</v>
      </c>
      <c r="F15" s="335">
        <v>0</v>
      </c>
      <c r="G15" s="53">
        <v>34904.240391024985</v>
      </c>
      <c r="H15" s="53">
        <v>1308.909014663437</v>
      </c>
      <c r="I15" s="53">
        <v>0</v>
      </c>
      <c r="J15" s="53">
        <v>32936.02211607802</v>
      </c>
      <c r="K15" s="53">
        <v>988.0806634823406</v>
      </c>
      <c r="L15" s="53">
        <v>0</v>
      </c>
      <c r="M15" s="53">
        <v>70137.25218524877</v>
      </c>
      <c r="N15" s="53"/>
      <c r="O15" s="53">
        <v>2296.9896781457774</v>
      </c>
      <c r="P15" s="172">
        <v>20182.68191202365</v>
      </c>
      <c r="Q15" s="53">
        <v>756.8505717008869</v>
      </c>
      <c r="R15" s="53">
        <v>0</v>
      </c>
      <c r="S15" s="53">
        <v>14322.992981451804</v>
      </c>
      <c r="T15" s="53">
        <v>429.6897894435541</v>
      </c>
      <c r="U15" s="53">
        <v>0</v>
      </c>
      <c r="V15" s="53">
        <v>35692.21525461989</v>
      </c>
      <c r="W15" s="53">
        <v>0</v>
      </c>
      <c r="X15" s="54">
        <v>1186.540361144441</v>
      </c>
      <c r="Y15" s="4"/>
      <c r="Z15" s="172">
        <v>4180.212036167417</v>
      </c>
      <c r="AA15" s="54">
        <v>-4180.212036167417</v>
      </c>
    </row>
    <row r="16" spans="1:27" ht="15">
      <c r="A16" s="20">
        <v>2018</v>
      </c>
      <c r="B16" s="21"/>
      <c r="C16" s="333">
        <v>63</v>
      </c>
      <c r="D16" s="340">
        <v>0</v>
      </c>
      <c r="E16" s="335">
        <v>39484.73421168093</v>
      </c>
      <c r="F16" s="335">
        <v>0</v>
      </c>
      <c r="G16" s="53">
        <v>36213.14940568842</v>
      </c>
      <c r="H16" s="53">
        <v>1357.9931027133157</v>
      </c>
      <c r="I16" s="53">
        <v>0</v>
      </c>
      <c r="J16" s="53">
        <v>33924.10277956036</v>
      </c>
      <c r="K16" s="53">
        <v>1017.7230833868107</v>
      </c>
      <c r="L16" s="53">
        <v>0</v>
      </c>
      <c r="M16" s="53">
        <v>72512.96837134889</v>
      </c>
      <c r="N16" s="53"/>
      <c r="O16" s="53">
        <v>2375.7161861001264</v>
      </c>
      <c r="P16" s="172">
        <v>20939.53248372454</v>
      </c>
      <c r="Q16" s="53">
        <v>785.2324681396702</v>
      </c>
      <c r="R16" s="53">
        <v>0</v>
      </c>
      <c r="S16" s="53">
        <v>14752.682770895357</v>
      </c>
      <c r="T16" s="53">
        <v>442.5804831268607</v>
      </c>
      <c r="U16" s="53">
        <v>0</v>
      </c>
      <c r="V16" s="53">
        <v>36920.028205886425</v>
      </c>
      <c r="W16" s="53">
        <v>0</v>
      </c>
      <c r="X16" s="54">
        <v>1227.812951266531</v>
      </c>
      <c r="Y16" s="4"/>
      <c r="Z16" s="172">
        <v>-36766.777571516475</v>
      </c>
      <c r="AA16" s="54">
        <v>36766.777571516475</v>
      </c>
    </row>
    <row r="17" spans="1:27" ht="15">
      <c r="A17" s="20">
        <v>2019</v>
      </c>
      <c r="B17" s="21"/>
      <c r="C17" s="333">
        <v>64</v>
      </c>
      <c r="D17" s="340">
        <v>0</v>
      </c>
      <c r="E17" s="335">
        <v>35687.913242034934</v>
      </c>
      <c r="F17" s="335">
        <v>0</v>
      </c>
      <c r="G17" s="53">
        <v>37571.14250840173</v>
      </c>
      <c r="H17" s="53">
        <v>1408.9178440650649</v>
      </c>
      <c r="I17" s="53">
        <v>4700</v>
      </c>
      <c r="J17" s="53">
        <v>34941.82586294717</v>
      </c>
      <c r="K17" s="53">
        <v>1048.254775888415</v>
      </c>
      <c r="L17" s="53">
        <v>0</v>
      </c>
      <c r="M17" s="53">
        <v>70270.14099130238</v>
      </c>
      <c r="N17" s="53"/>
      <c r="O17" s="53">
        <v>2457.1726199534796</v>
      </c>
      <c r="P17" s="172">
        <v>21724.76495186421</v>
      </c>
      <c r="Q17" s="53">
        <v>814.6786856949078</v>
      </c>
      <c r="R17" s="53">
        <v>21659.34461346551</v>
      </c>
      <c r="S17" s="53">
        <v>15195.263254022218</v>
      </c>
      <c r="T17" s="53">
        <v>455.85789762066656</v>
      </c>
      <c r="U17" s="53">
        <v>0</v>
      </c>
      <c r="V17" s="53">
        <v>16531.220175736493</v>
      </c>
      <c r="W17" s="53">
        <v>0</v>
      </c>
      <c r="X17" s="54">
        <v>1270.5365833155743</v>
      </c>
      <c r="Y17" s="4"/>
      <c r="Z17" s="172">
        <v>-21659.34461346551</v>
      </c>
      <c r="AA17" s="54">
        <v>21659.34461346551</v>
      </c>
    </row>
    <row r="18" spans="1:27" ht="15">
      <c r="A18" s="20">
        <v>2020</v>
      </c>
      <c r="B18" s="21"/>
      <c r="C18" s="333">
        <v>65</v>
      </c>
      <c r="D18" s="340">
        <v>0</v>
      </c>
      <c r="E18" s="335">
        <v>23221.683001251204</v>
      </c>
      <c r="F18" s="335">
        <v>0</v>
      </c>
      <c r="G18" s="53">
        <v>34280.0603524668</v>
      </c>
      <c r="H18" s="53">
        <v>1285.5022632175048</v>
      </c>
      <c r="I18" s="53">
        <v>0</v>
      </c>
      <c r="J18" s="53">
        <v>35990.080638835585</v>
      </c>
      <c r="K18" s="53">
        <v>1079.7024191650676</v>
      </c>
      <c r="L18" s="53">
        <v>0</v>
      </c>
      <c r="M18" s="53">
        <v>72635.34567368495</v>
      </c>
      <c r="N18" s="53"/>
      <c r="O18" s="53">
        <v>2365.204682382572</v>
      </c>
      <c r="P18" s="172">
        <v>880.099024093608</v>
      </c>
      <c r="Q18" s="53">
        <v>33.0037134035103</v>
      </c>
      <c r="R18" s="53">
        <v>0</v>
      </c>
      <c r="S18" s="53">
        <v>15651.121151642885</v>
      </c>
      <c r="T18" s="53">
        <v>469.53363454928655</v>
      </c>
      <c r="U18" s="53">
        <v>13946.94843039383</v>
      </c>
      <c r="V18" s="53">
        <v>3086.809093295462</v>
      </c>
      <c r="W18" s="53">
        <v>0</v>
      </c>
      <c r="X18" s="54">
        <v>502.53734795279684</v>
      </c>
      <c r="Y18" s="4"/>
      <c r="Z18" s="172">
        <v>-13946.94843039383</v>
      </c>
      <c r="AA18" s="54">
        <v>13946.94843039383</v>
      </c>
    </row>
    <row r="19" spans="1:27" ht="15">
      <c r="A19" s="20">
        <v>2021</v>
      </c>
      <c r="B19" s="21"/>
      <c r="C19" s="333">
        <v>66</v>
      </c>
      <c r="D19" s="340">
        <v>0</v>
      </c>
      <c r="E19" s="335">
        <v>23857.8548079479</v>
      </c>
      <c r="F19" s="335">
        <v>0</v>
      </c>
      <c r="G19" s="53">
        <v>35565.5626156843</v>
      </c>
      <c r="H19" s="53">
        <v>1333.7085980881611</v>
      </c>
      <c r="I19" s="53">
        <v>0</v>
      </c>
      <c r="J19" s="53">
        <v>37069.783058000656</v>
      </c>
      <c r="K19" s="53">
        <v>1112.0934917400195</v>
      </c>
      <c r="L19" s="53">
        <v>0</v>
      </c>
      <c r="M19" s="53">
        <v>75081.14776351313</v>
      </c>
      <c r="N19" s="53"/>
      <c r="O19" s="53">
        <v>2445.8020898281807</v>
      </c>
      <c r="P19" s="172">
        <v>913.1027374971184</v>
      </c>
      <c r="Q19" s="53">
        <v>34.241352656141935</v>
      </c>
      <c r="R19" s="53">
        <v>0</v>
      </c>
      <c r="S19" s="53">
        <v>2173.706355798342</v>
      </c>
      <c r="T19" s="53">
        <v>65.21119067395026</v>
      </c>
      <c r="U19" s="53">
        <v>0</v>
      </c>
      <c r="V19" s="53">
        <v>3186.2616366255525</v>
      </c>
      <c r="W19" s="53">
        <v>0</v>
      </c>
      <c r="X19" s="54">
        <v>99.4525433300922</v>
      </c>
      <c r="Y19" s="4"/>
      <c r="Z19" s="172">
        <v>-14289.643620098512</v>
      </c>
      <c r="AA19" s="54">
        <v>14289.643620098512</v>
      </c>
    </row>
    <row r="20" spans="1:27" ht="15">
      <c r="A20" s="20">
        <v>2022</v>
      </c>
      <c r="B20" s="21"/>
      <c r="C20" s="333">
        <v>67</v>
      </c>
      <c r="D20" s="340">
        <v>0</v>
      </c>
      <c r="E20" s="335">
        <v>24510.124628011006</v>
      </c>
      <c r="F20" s="335">
        <v>0</v>
      </c>
      <c r="G20" s="53">
        <v>36899.27121377246</v>
      </c>
      <c r="H20" s="53">
        <v>1383.7226705164671</v>
      </c>
      <c r="I20" s="53">
        <v>0</v>
      </c>
      <c r="J20" s="53">
        <v>38181.87654974068</v>
      </c>
      <c r="K20" s="53">
        <v>1145.4562964922204</v>
      </c>
      <c r="L20" s="53">
        <v>0</v>
      </c>
      <c r="M20" s="53">
        <v>77610.32673052183</v>
      </c>
      <c r="N20" s="53"/>
      <c r="O20" s="53">
        <v>2529.1789670086873</v>
      </c>
      <c r="P20" s="172">
        <v>947.3440901532603</v>
      </c>
      <c r="Q20" s="53">
        <v>35.52540338074726</v>
      </c>
      <c r="R20" s="53">
        <v>0</v>
      </c>
      <c r="S20" s="53">
        <v>2238.917546472292</v>
      </c>
      <c r="T20" s="53">
        <v>67.16752639416876</v>
      </c>
      <c r="U20" s="53">
        <v>0</v>
      </c>
      <c r="V20" s="53">
        <v>3288.954566400468</v>
      </c>
      <c r="W20" s="53">
        <v>0</v>
      </c>
      <c r="X20" s="54">
        <v>102.69292977491602</v>
      </c>
      <c r="Y20" s="4"/>
      <c r="Z20" s="172">
        <v>-7704.631411987066</v>
      </c>
      <c r="AA20" s="54">
        <v>7704.631411987066</v>
      </c>
    </row>
    <row r="21" spans="1:27" ht="15">
      <c r="A21" s="20">
        <v>2023</v>
      </c>
      <c r="B21" s="21"/>
      <c r="C21" s="333">
        <v>68</v>
      </c>
      <c r="D21" s="340">
        <v>0</v>
      </c>
      <c r="E21" s="335">
        <v>25178.882460927012</v>
      </c>
      <c r="F21" s="335">
        <v>0</v>
      </c>
      <c r="G21" s="53">
        <v>38282.993884288924</v>
      </c>
      <c r="H21" s="53">
        <v>1435.6122706608346</v>
      </c>
      <c r="I21" s="53">
        <v>0</v>
      </c>
      <c r="J21" s="53">
        <v>39327.3328462329</v>
      </c>
      <c r="K21" s="53">
        <v>1179.819985386987</v>
      </c>
      <c r="L21" s="53">
        <v>0</v>
      </c>
      <c r="M21" s="53">
        <v>80225.75898656965</v>
      </c>
      <c r="N21" s="53"/>
      <c r="O21" s="53">
        <v>2615.4322560478213</v>
      </c>
      <c r="P21" s="172">
        <v>982.8694935340075</v>
      </c>
      <c r="Q21" s="53">
        <v>36.85760600752528</v>
      </c>
      <c r="R21" s="53">
        <v>0</v>
      </c>
      <c r="S21" s="53">
        <v>2306.085072866461</v>
      </c>
      <c r="T21" s="53">
        <v>69.18255218599383</v>
      </c>
      <c r="U21" s="53">
        <v>0</v>
      </c>
      <c r="V21" s="53">
        <v>3394.9947245939875</v>
      </c>
      <c r="W21" s="53">
        <v>0</v>
      </c>
      <c r="X21" s="54">
        <v>106.0401581935191</v>
      </c>
      <c r="Y21" s="4"/>
      <c r="Z21" s="172">
        <v>-8339.876214391938</v>
      </c>
      <c r="AA21" s="54">
        <v>8339.876214391938</v>
      </c>
    </row>
    <row r="22" spans="1:27" ht="15">
      <c r="A22" s="20">
        <v>2024</v>
      </c>
      <c r="B22" s="21"/>
      <c r="C22" s="333">
        <v>69</v>
      </c>
      <c r="D22" s="340">
        <v>0</v>
      </c>
      <c r="E22" s="335">
        <v>7864.527508335552</v>
      </c>
      <c r="F22" s="335">
        <v>0</v>
      </c>
      <c r="G22" s="53">
        <v>39718.60615494976</v>
      </c>
      <c r="H22" s="53">
        <v>1489.447730810616</v>
      </c>
      <c r="I22" s="53">
        <v>9000</v>
      </c>
      <c r="J22" s="53">
        <v>40507.15283161989</v>
      </c>
      <c r="K22" s="53">
        <v>1215.2145849485967</v>
      </c>
      <c r="L22" s="53">
        <v>9000</v>
      </c>
      <c r="M22" s="53">
        <v>64930.42130232886</v>
      </c>
      <c r="N22" s="53"/>
      <c r="O22" s="53">
        <v>2704.6623157592126</v>
      </c>
      <c r="P22" s="172">
        <v>1019.7270995415328</v>
      </c>
      <c r="Q22" s="53">
        <v>38.239766232807476</v>
      </c>
      <c r="R22" s="53">
        <v>0</v>
      </c>
      <c r="S22" s="53">
        <v>2375.2676250524546</v>
      </c>
      <c r="T22" s="53">
        <v>71.25802875157363</v>
      </c>
      <c r="U22" s="53">
        <v>0</v>
      </c>
      <c r="V22" s="53">
        <v>3504.4925195783685</v>
      </c>
      <c r="W22" s="53">
        <v>0</v>
      </c>
      <c r="X22" s="54">
        <v>109.4977949843811</v>
      </c>
      <c r="Y22" s="4"/>
      <c r="Z22" s="172">
        <v>-6723.628642118245</v>
      </c>
      <c r="AA22" s="54">
        <v>6723.628642118245</v>
      </c>
    </row>
    <row r="23" spans="1:27" ht="15">
      <c r="A23" s="20">
        <v>2025</v>
      </c>
      <c r="B23" s="21"/>
      <c r="C23" s="333">
        <v>70</v>
      </c>
      <c r="D23" s="340">
        <v>0</v>
      </c>
      <c r="E23" s="335">
        <v>26567.4683875093</v>
      </c>
      <c r="F23" s="335">
        <v>0</v>
      </c>
      <c r="G23" s="53">
        <v>32208.053885760375</v>
      </c>
      <c r="H23" s="53">
        <v>1207.802020716014</v>
      </c>
      <c r="I23" s="53">
        <v>0</v>
      </c>
      <c r="J23" s="53">
        <v>32722.367416568486</v>
      </c>
      <c r="K23" s="53">
        <v>981.6710224970545</v>
      </c>
      <c r="L23" s="53">
        <v>0</v>
      </c>
      <c r="M23" s="53">
        <v>67119.89434554194</v>
      </c>
      <c r="N23" s="53"/>
      <c r="O23" s="53">
        <v>2189.4730432130686</v>
      </c>
      <c r="P23" s="172">
        <v>1057.9668657743402</v>
      </c>
      <c r="Q23" s="53">
        <v>39.67375746653776</v>
      </c>
      <c r="R23" s="53">
        <v>0</v>
      </c>
      <c r="S23" s="53">
        <v>2446.525653804028</v>
      </c>
      <c r="T23" s="53">
        <v>73.39576961412084</v>
      </c>
      <c r="U23" s="53">
        <v>2414.8660256716757</v>
      </c>
      <c r="V23" s="53">
        <v>1202.6960209873514</v>
      </c>
      <c r="W23" s="53">
        <v>0</v>
      </c>
      <c r="X23" s="54">
        <v>113.06952708065859</v>
      </c>
      <c r="Y23" s="4"/>
      <c r="Z23" s="172">
        <v>-2414.8660256716757</v>
      </c>
      <c r="AA23" s="54">
        <v>2414.8660256716757</v>
      </c>
    </row>
    <row r="24" spans="1:27" ht="15">
      <c r="A24" s="20">
        <v>2026</v>
      </c>
      <c r="B24" s="21"/>
      <c r="C24" s="333">
        <v>71</v>
      </c>
      <c r="D24" s="340">
        <v>0</v>
      </c>
      <c r="E24" s="335">
        <v>26788.123349731963</v>
      </c>
      <c r="F24" s="335">
        <v>0</v>
      </c>
      <c r="G24" s="53">
        <v>33415.85590647639</v>
      </c>
      <c r="H24" s="53">
        <v>1253.0945964928646</v>
      </c>
      <c r="I24" s="53">
        <v>500</v>
      </c>
      <c r="J24" s="53">
        <v>33704.03843906554</v>
      </c>
      <c r="K24" s="53">
        <v>1011.1211531719661</v>
      </c>
      <c r="L24" s="53">
        <v>0</v>
      </c>
      <c r="M24" s="53">
        <v>68884.11009520675</v>
      </c>
      <c r="N24" s="53"/>
      <c r="O24" s="53">
        <v>2264.2157496648306</v>
      </c>
      <c r="P24" s="172">
        <v>1097.640623240878</v>
      </c>
      <c r="Q24" s="53">
        <v>41.16152337153293</v>
      </c>
      <c r="R24" s="53">
        <v>1070.8278153953215</v>
      </c>
      <c r="S24" s="53">
        <v>105.05539774647332</v>
      </c>
      <c r="T24" s="53">
        <v>3.1516619323941995</v>
      </c>
      <c r="U24" s="53">
        <v>0</v>
      </c>
      <c r="V24" s="53">
        <v>176.18139089595698</v>
      </c>
      <c r="W24" s="53">
        <v>0</v>
      </c>
      <c r="X24" s="54">
        <v>44.31318530392713</v>
      </c>
      <c r="Y24" s="4"/>
      <c r="Z24" s="172">
        <v>-1070.8278153953215</v>
      </c>
      <c r="AA24" s="54">
        <v>1070.8278153953215</v>
      </c>
    </row>
    <row r="25" spans="1:27" ht="15">
      <c r="A25" s="20">
        <v>2027</v>
      </c>
      <c r="B25" s="21"/>
      <c r="C25" s="333">
        <v>72</v>
      </c>
      <c r="D25" s="340">
        <v>0.0748</v>
      </c>
      <c r="E25" s="335">
        <v>22862.342255640724</v>
      </c>
      <c r="F25" s="335">
        <v>0</v>
      </c>
      <c r="G25" s="53">
        <v>34168.95050296925</v>
      </c>
      <c r="H25" s="53">
        <v>1281.3356438613469</v>
      </c>
      <c r="I25" s="53">
        <v>2555.8374976221003</v>
      </c>
      <c r="J25" s="53">
        <v>34715.159592237505</v>
      </c>
      <c r="K25" s="53">
        <v>1041.454787767125</v>
      </c>
      <c r="L25" s="53">
        <v>2596.693937499366</v>
      </c>
      <c r="M25" s="53">
        <v>66054.36909171376</v>
      </c>
      <c r="N25" s="53">
        <v>4940.866808060189</v>
      </c>
      <c r="O25" s="53">
        <v>2322.790431628472</v>
      </c>
      <c r="P25" s="172">
        <v>67.97433121708946</v>
      </c>
      <c r="Q25" s="53">
        <v>2.5490374206408544</v>
      </c>
      <c r="R25" s="53">
        <v>0</v>
      </c>
      <c r="S25" s="53">
        <v>108.20705967886752</v>
      </c>
      <c r="T25" s="53">
        <v>3.2462117903660257</v>
      </c>
      <c r="U25" s="53">
        <v>0</v>
      </c>
      <c r="V25" s="53">
        <v>181.97664010696388</v>
      </c>
      <c r="W25" s="53">
        <v>0</v>
      </c>
      <c r="X25" s="54">
        <v>5.79524921100688</v>
      </c>
      <c r="Y25" s="4"/>
      <c r="Z25" s="172">
        <v>-708.1383041254448</v>
      </c>
      <c r="AA25" s="54">
        <v>708.1383041254448</v>
      </c>
    </row>
    <row r="26" spans="1:27" ht="15">
      <c r="A26" s="20">
        <v>2028</v>
      </c>
      <c r="B26" s="21"/>
      <c r="C26" s="333">
        <v>73</v>
      </c>
      <c r="D26" s="340">
        <v>0.0759</v>
      </c>
      <c r="E26" s="335">
        <v>23758.27286149141</v>
      </c>
      <c r="F26" s="335">
        <v>0</v>
      </c>
      <c r="G26" s="53">
        <v>32894.4486492085</v>
      </c>
      <c r="H26" s="53">
        <v>1233.5418243453187</v>
      </c>
      <c r="I26" s="53">
        <v>2496.6886524749248</v>
      </c>
      <c r="J26" s="53">
        <v>33159.92044250527</v>
      </c>
      <c r="K26" s="53">
        <v>994.7976132751579</v>
      </c>
      <c r="L26" s="53">
        <v>2516.8379615861495</v>
      </c>
      <c r="M26" s="53">
        <v>63269.18191527318</v>
      </c>
      <c r="N26" s="53">
        <v>4802.130907369234</v>
      </c>
      <c r="O26" s="53">
        <v>2228.3394376204765</v>
      </c>
      <c r="P26" s="172">
        <v>70.52336863773031</v>
      </c>
      <c r="Q26" s="53">
        <v>2.6446263239148866</v>
      </c>
      <c r="R26" s="53">
        <v>0</v>
      </c>
      <c r="S26" s="53">
        <v>111.45327146923356</v>
      </c>
      <c r="T26" s="53">
        <v>3.3435981440770064</v>
      </c>
      <c r="U26" s="53">
        <v>0</v>
      </c>
      <c r="V26" s="53">
        <v>187.96486457495575</v>
      </c>
      <c r="W26" s="53">
        <v>0</v>
      </c>
      <c r="X26" s="54">
        <v>5.988224467991893</v>
      </c>
      <c r="Y26" s="4"/>
      <c r="Z26" s="172">
        <v>-284.4708747009572</v>
      </c>
      <c r="AA26" s="54">
        <v>284.4708747009572</v>
      </c>
    </row>
    <row r="27" spans="1:27" ht="15">
      <c r="A27" s="20">
        <v>2029</v>
      </c>
      <c r="B27" s="21"/>
      <c r="C27" s="333">
        <v>74</v>
      </c>
      <c r="D27" s="340">
        <v>0.0771</v>
      </c>
      <c r="E27" s="335">
        <v>24669.683294416507</v>
      </c>
      <c r="F27" s="335">
        <v>0</v>
      </c>
      <c r="G27" s="53">
        <v>31631.30182107889</v>
      </c>
      <c r="H27" s="53">
        <v>1186.1738182904583</v>
      </c>
      <c r="I27" s="53">
        <v>2438.7733704051825</v>
      </c>
      <c r="J27" s="53">
        <v>31637.880094194275</v>
      </c>
      <c r="K27" s="53">
        <v>949.1364028258282</v>
      </c>
      <c r="L27" s="53">
        <v>2439.2805552623786</v>
      </c>
      <c r="M27" s="53">
        <v>60526.438210721884</v>
      </c>
      <c r="N27" s="53">
        <v>4666.588386046657</v>
      </c>
      <c r="O27" s="53">
        <v>2135.3102211162864</v>
      </c>
      <c r="P27" s="172">
        <v>73.1679949616452</v>
      </c>
      <c r="Q27" s="53">
        <v>2.7437998110616952</v>
      </c>
      <c r="R27" s="53">
        <v>0</v>
      </c>
      <c r="S27" s="53">
        <v>114.79686961331056</v>
      </c>
      <c r="T27" s="53">
        <v>3.443906088399317</v>
      </c>
      <c r="U27" s="53">
        <v>0</v>
      </c>
      <c r="V27" s="53">
        <v>194.1525704744168</v>
      </c>
      <c r="W27" s="53">
        <v>0</v>
      </c>
      <c r="X27" s="54">
        <v>6.187705899461012</v>
      </c>
      <c r="Y27" s="4"/>
      <c r="Z27" s="172">
        <v>791.5537929724596</v>
      </c>
      <c r="AA27" s="54">
        <v>-791.5537929724596</v>
      </c>
    </row>
    <row r="28" spans="1:27" ht="15">
      <c r="A28" s="20">
        <v>2030</v>
      </c>
      <c r="B28" s="21"/>
      <c r="C28" s="333">
        <v>75</v>
      </c>
      <c r="D28" s="340">
        <v>0.0785</v>
      </c>
      <c r="E28" s="335">
        <v>25591.819962554844</v>
      </c>
      <c r="F28" s="335">
        <v>0</v>
      </c>
      <c r="G28" s="53">
        <v>30378.702268964164</v>
      </c>
      <c r="H28" s="53">
        <v>1139.2013350861562</v>
      </c>
      <c r="I28" s="53">
        <v>2384.728128113687</v>
      </c>
      <c r="J28" s="53">
        <v>30147.735941757725</v>
      </c>
      <c r="K28" s="53">
        <v>904.4320782527317</v>
      </c>
      <c r="L28" s="53">
        <v>2366.5972714279815</v>
      </c>
      <c r="M28" s="53">
        <v>57818.7462245191</v>
      </c>
      <c r="N28" s="53">
        <v>4538.771578624749</v>
      </c>
      <c r="O28" s="53">
        <v>2043.6334133388877</v>
      </c>
      <c r="P28" s="172">
        <v>75.9117947727069</v>
      </c>
      <c r="Q28" s="53">
        <v>2.8466923039765084</v>
      </c>
      <c r="R28" s="53">
        <v>0</v>
      </c>
      <c r="S28" s="53">
        <v>118.24077570170988</v>
      </c>
      <c r="T28" s="53">
        <v>3.5472232710512963</v>
      </c>
      <c r="U28" s="53">
        <v>0</v>
      </c>
      <c r="V28" s="53">
        <v>200.5464860494446</v>
      </c>
      <c r="W28" s="53">
        <v>0</v>
      </c>
      <c r="X28" s="54">
        <v>6.393915575027805</v>
      </c>
      <c r="Y28" s="4"/>
      <c r="Z28" s="172">
        <v>1977.6975418763686</v>
      </c>
      <c r="AA28" s="54">
        <v>-1977.6975418763686</v>
      </c>
    </row>
    <row r="29" spans="1:27" ht="15">
      <c r="A29" s="20">
        <v>2031</v>
      </c>
      <c r="B29" s="21"/>
      <c r="C29" s="333">
        <v>76</v>
      </c>
      <c r="D29" s="340">
        <v>0.0799</v>
      </c>
      <c r="E29" s="335">
        <v>26538.775295529544</v>
      </c>
      <c r="F29" s="335">
        <v>0</v>
      </c>
      <c r="G29" s="53">
        <v>29133.175475936634</v>
      </c>
      <c r="H29" s="53">
        <v>1092.4940803476238</v>
      </c>
      <c r="I29" s="53">
        <v>2327.740720527337</v>
      </c>
      <c r="J29" s="53">
        <v>28685.570748582475</v>
      </c>
      <c r="K29" s="53">
        <v>860.5671224574742</v>
      </c>
      <c r="L29" s="53">
        <v>2291.9771028117398</v>
      </c>
      <c r="M29" s="53">
        <v>55152.089603985136</v>
      </c>
      <c r="N29" s="53">
        <v>4406.651959358413</v>
      </c>
      <c r="O29" s="53">
        <v>1953.061202805098</v>
      </c>
      <c r="P29" s="172">
        <v>78.75848707668341</v>
      </c>
      <c r="Q29" s="53">
        <v>2.9534432653756277</v>
      </c>
      <c r="R29" s="53">
        <v>0</v>
      </c>
      <c r="S29" s="53">
        <v>121.78799897276117</v>
      </c>
      <c r="T29" s="53">
        <v>3.653639969182835</v>
      </c>
      <c r="U29" s="53">
        <v>0</v>
      </c>
      <c r="V29" s="53">
        <v>207.15356928400305</v>
      </c>
      <c r="W29" s="53">
        <v>0</v>
      </c>
      <c r="X29" s="54">
        <v>6.607083234558463</v>
      </c>
      <c r="Y29" s="4"/>
      <c r="Z29" s="172">
        <v>3108.1793663113567</v>
      </c>
      <c r="AA29" s="54">
        <v>-3108.1793663113567</v>
      </c>
    </row>
    <row r="30" spans="1:27" ht="15">
      <c r="A30" s="20">
        <v>2032</v>
      </c>
      <c r="B30" s="21"/>
      <c r="C30" s="333">
        <v>77</v>
      </c>
      <c r="D30" s="340">
        <v>0.0815</v>
      </c>
      <c r="E30" s="335">
        <v>27499.36543379871</v>
      </c>
      <c r="F30" s="335">
        <v>0</v>
      </c>
      <c r="G30" s="53">
        <v>27897.92883575692</v>
      </c>
      <c r="H30" s="53">
        <v>1046.1723313408845</v>
      </c>
      <c r="I30" s="53">
        <v>2273.681200114189</v>
      </c>
      <c r="J30" s="53">
        <v>27254.16076822821</v>
      </c>
      <c r="K30" s="53">
        <v>817.6248230468462</v>
      </c>
      <c r="L30" s="53">
        <v>2221.214102610599</v>
      </c>
      <c r="M30" s="53">
        <v>52520.99145564808</v>
      </c>
      <c r="N30" s="53">
        <v>4280.460803635318</v>
      </c>
      <c r="O30" s="53">
        <v>1863.7971543877306</v>
      </c>
      <c r="P30" s="172">
        <v>81.71193034205903</v>
      </c>
      <c r="Q30" s="53">
        <v>3.0641973878272135</v>
      </c>
      <c r="R30" s="53">
        <v>0</v>
      </c>
      <c r="S30" s="53">
        <v>125.441638941944</v>
      </c>
      <c r="T30" s="53">
        <v>3.7632491682583202</v>
      </c>
      <c r="U30" s="53">
        <v>0</v>
      </c>
      <c r="V30" s="53">
        <v>213.98101584008856</v>
      </c>
      <c r="W30" s="53">
        <v>0</v>
      </c>
      <c r="X30" s="54">
        <v>6.827446556085533</v>
      </c>
      <c r="Y30" s="4"/>
      <c r="Z30" s="172">
        <v>6727.953299729437</v>
      </c>
      <c r="AA30" s="54">
        <v>-6727.953299729437</v>
      </c>
    </row>
    <row r="31" spans="1:27" ht="15">
      <c r="A31" s="20">
        <v>2033</v>
      </c>
      <c r="B31" s="21"/>
      <c r="C31" s="333">
        <v>78</v>
      </c>
      <c r="D31" s="340">
        <v>0.0833</v>
      </c>
      <c r="E31" s="335">
        <v>28475.941156778914</v>
      </c>
      <c r="F31" s="335">
        <v>0</v>
      </c>
      <c r="G31" s="53">
        <v>26670.419966983616</v>
      </c>
      <c r="H31" s="53">
        <v>1000.1407487618856</v>
      </c>
      <c r="I31" s="53">
        <v>2221.6459832497353</v>
      </c>
      <c r="J31" s="53">
        <v>25850.571488664453</v>
      </c>
      <c r="K31" s="53">
        <v>775.5171446599336</v>
      </c>
      <c r="L31" s="53">
        <v>2153.352605005749</v>
      </c>
      <c r="M31" s="53">
        <v>49921.6507608144</v>
      </c>
      <c r="N31" s="53">
        <v>4158.47350837584</v>
      </c>
      <c r="O31" s="53">
        <v>1775.6578934218192</v>
      </c>
      <c r="P31" s="172">
        <v>84.77612772988624</v>
      </c>
      <c r="Q31" s="53">
        <v>3.179104789870734</v>
      </c>
      <c r="R31" s="53">
        <v>0</v>
      </c>
      <c r="S31" s="53">
        <v>129.20488811020232</v>
      </c>
      <c r="T31" s="53">
        <v>3.8761466433060696</v>
      </c>
      <c r="U31" s="53">
        <v>0</v>
      </c>
      <c r="V31" s="53">
        <v>221.03626727326537</v>
      </c>
      <c r="W31" s="53">
        <v>0</v>
      </c>
      <c r="X31" s="54">
        <v>7.055251433176803</v>
      </c>
      <c r="Y31" s="4"/>
      <c r="Z31" s="172">
        <v>5783.2130866974985</v>
      </c>
      <c r="AA31" s="54">
        <v>-5783.2130866974985</v>
      </c>
    </row>
    <row r="32" spans="1:27" ht="15">
      <c r="A32" s="20">
        <v>2034</v>
      </c>
      <c r="B32" s="21"/>
      <c r="C32" s="333">
        <v>79</v>
      </c>
      <c r="D32" s="340">
        <v>0.0853</v>
      </c>
      <c r="E32" s="335">
        <v>29470.71640916264</v>
      </c>
      <c r="F32" s="335">
        <v>0</v>
      </c>
      <c r="G32" s="53">
        <v>25448.914732495767</v>
      </c>
      <c r="H32" s="53">
        <v>954.3343024685912</v>
      </c>
      <c r="I32" s="53">
        <v>2170.792426681889</v>
      </c>
      <c r="J32" s="53">
        <v>24472.73602831864</v>
      </c>
      <c r="K32" s="53">
        <v>734.1820808495592</v>
      </c>
      <c r="L32" s="53">
        <v>2087.5243832155797</v>
      </c>
      <c r="M32" s="53">
        <v>47351.85033423509</v>
      </c>
      <c r="N32" s="53">
        <v>4039.112833510253</v>
      </c>
      <c r="O32" s="53">
        <v>1688.5163833181505</v>
      </c>
      <c r="P32" s="172">
        <v>87.95523251975698</v>
      </c>
      <c r="Q32" s="53">
        <v>3.2983212194908864</v>
      </c>
      <c r="R32" s="53">
        <v>0</v>
      </c>
      <c r="S32" s="53">
        <v>133.0810347535084</v>
      </c>
      <c r="T32" s="53">
        <v>3.9924310426052516</v>
      </c>
      <c r="U32" s="53">
        <v>0</v>
      </c>
      <c r="V32" s="53">
        <v>228.32701953536153</v>
      </c>
      <c r="W32" s="53">
        <v>0</v>
      </c>
      <c r="X32" s="54">
        <v>7.290752262096138</v>
      </c>
      <c r="Y32" s="4"/>
      <c r="Z32" s="172">
        <v>5904.598774308935</v>
      </c>
      <c r="AA32" s="54">
        <v>-5904.598774308935</v>
      </c>
    </row>
    <row r="33" spans="1:27" ht="15">
      <c r="A33" s="20">
        <v>2035</v>
      </c>
      <c r="B33" s="21"/>
      <c r="C33" s="333">
        <v>80</v>
      </c>
      <c r="D33" s="340">
        <v>0.0875</v>
      </c>
      <c r="E33" s="335">
        <v>28985.769140497207</v>
      </c>
      <c r="F33" s="335">
        <v>0</v>
      </c>
      <c r="G33" s="53">
        <v>24232.45660828247</v>
      </c>
      <c r="H33" s="53">
        <v>908.7171228105926</v>
      </c>
      <c r="I33" s="53">
        <v>3620.3399532247163</v>
      </c>
      <c r="J33" s="53">
        <v>23119.393725952617</v>
      </c>
      <c r="K33" s="53">
        <v>693.5818117785785</v>
      </c>
      <c r="L33" s="53">
        <v>2022.946951020854</v>
      </c>
      <c r="M33" s="53">
        <v>43310.862364578694</v>
      </c>
      <c r="N33" s="53">
        <v>3789.7004569006353</v>
      </c>
      <c r="O33" s="53">
        <v>1602.298934589171</v>
      </c>
      <c r="P33" s="172">
        <v>91.25355373924786</v>
      </c>
      <c r="Q33" s="53">
        <v>3.4220082652217947</v>
      </c>
      <c r="R33" s="53">
        <v>0</v>
      </c>
      <c r="S33" s="53">
        <v>137.07346579611365</v>
      </c>
      <c r="T33" s="53">
        <v>4.1122039738834095</v>
      </c>
      <c r="U33" s="53">
        <v>0</v>
      </c>
      <c r="V33" s="53">
        <v>235.8612317744667</v>
      </c>
      <c r="W33" s="53">
        <v>0</v>
      </c>
      <c r="X33" s="54">
        <v>7.534212239105204</v>
      </c>
      <c r="Y33" s="4"/>
      <c r="Z33" s="172">
        <v>7862.042819901617</v>
      </c>
      <c r="AA33" s="54">
        <v>-7862.042819901617</v>
      </c>
    </row>
    <row r="34" spans="1:27" ht="15">
      <c r="A34" s="20">
        <v>2036</v>
      </c>
      <c r="B34" s="21"/>
      <c r="C34" s="333">
        <v>81</v>
      </c>
      <c r="D34" s="340">
        <v>0.0899</v>
      </c>
      <c r="E34" s="335">
        <v>31657.888666027226</v>
      </c>
      <c r="F34" s="335">
        <v>0</v>
      </c>
      <c r="G34" s="53">
        <v>21520.833777868345</v>
      </c>
      <c r="H34" s="53">
        <v>807.0312666700629</v>
      </c>
      <c r="I34" s="53">
        <v>1934.722956630364</v>
      </c>
      <c r="J34" s="53">
        <v>21790.02858671034</v>
      </c>
      <c r="K34" s="53">
        <v>653.7008576013102</v>
      </c>
      <c r="L34" s="53">
        <v>1958.9235699452595</v>
      </c>
      <c r="M34" s="53">
        <v>40877.94796227443</v>
      </c>
      <c r="N34" s="53">
        <v>3674.9275218084713</v>
      </c>
      <c r="O34" s="53">
        <v>1460.732124271373</v>
      </c>
      <c r="P34" s="172">
        <v>94.67556200446965</v>
      </c>
      <c r="Q34" s="53">
        <v>3.550333575167612</v>
      </c>
      <c r="R34" s="53">
        <v>0</v>
      </c>
      <c r="S34" s="53">
        <v>141.18566976999705</v>
      </c>
      <c r="T34" s="53">
        <v>4.235570093099911</v>
      </c>
      <c r="U34" s="53">
        <v>0</v>
      </c>
      <c r="V34" s="53">
        <v>243.64713544273422</v>
      </c>
      <c r="W34" s="53">
        <v>0</v>
      </c>
      <c r="X34" s="54">
        <v>7.7859036682675224</v>
      </c>
      <c r="Y34" s="4"/>
      <c r="Z34" s="172">
        <v>11422.935683555494</v>
      </c>
      <c r="AA34" s="54">
        <v>-11422.935683555494</v>
      </c>
    </row>
    <row r="35" spans="1:27" ht="15">
      <c r="A35" s="20">
        <v>2037</v>
      </c>
      <c r="B35" s="21"/>
      <c r="C35" s="333">
        <v>82</v>
      </c>
      <c r="D35" s="340">
        <v>0.0927</v>
      </c>
      <c r="E35" s="335">
        <v>32707.62422056684</v>
      </c>
      <c r="F35" s="335">
        <v>0</v>
      </c>
      <c r="G35" s="53">
        <v>20393.142087908043</v>
      </c>
      <c r="H35" s="53">
        <v>764.7428282965516</v>
      </c>
      <c r="I35" s="53">
        <v>1890.4442715490757</v>
      </c>
      <c r="J35" s="53">
        <v>20484.805874366393</v>
      </c>
      <c r="K35" s="53">
        <v>614.5441762309918</v>
      </c>
      <c r="L35" s="53">
        <v>1898.9415045537648</v>
      </c>
      <c r="M35" s="53">
        <v>38467.84919069913</v>
      </c>
      <c r="N35" s="53">
        <v>3565.96961997781</v>
      </c>
      <c r="O35" s="53">
        <v>1379.2870045275433</v>
      </c>
      <c r="P35" s="172">
        <v>98.22589557963727</v>
      </c>
      <c r="Q35" s="53">
        <v>3.6834710842363974</v>
      </c>
      <c r="R35" s="53">
        <v>0</v>
      </c>
      <c r="S35" s="53">
        <v>145.42123986309696</v>
      </c>
      <c r="T35" s="53">
        <v>4.362637195892908</v>
      </c>
      <c r="U35" s="53">
        <v>0</v>
      </c>
      <c r="V35" s="53">
        <v>251.69324372286354</v>
      </c>
      <c r="W35" s="53">
        <v>0</v>
      </c>
      <c r="X35" s="54">
        <v>8.046108280129307</v>
      </c>
      <c r="Y35" s="4"/>
      <c r="Z35" s="172">
        <v>12408.507114455824</v>
      </c>
      <c r="AA35" s="54">
        <v>-12408.507114455824</v>
      </c>
    </row>
    <row r="36" spans="1:27" ht="15">
      <c r="A36" s="20">
        <v>2038</v>
      </c>
      <c r="B36" s="21"/>
      <c r="C36" s="333">
        <v>83</v>
      </c>
      <c r="D36" s="340">
        <v>0.0958</v>
      </c>
      <c r="E36" s="335">
        <v>33780.81248751981</v>
      </c>
      <c r="F36" s="335">
        <v>0</v>
      </c>
      <c r="G36" s="53">
        <v>19267.44064465552</v>
      </c>
      <c r="H36" s="53">
        <v>722.5290241745819</v>
      </c>
      <c r="I36" s="53">
        <v>1845.8208137579986</v>
      </c>
      <c r="J36" s="53">
        <v>19200.40854604362</v>
      </c>
      <c r="K36" s="53">
        <v>576.0122563813086</v>
      </c>
      <c r="L36" s="53">
        <v>1839.3991387109788</v>
      </c>
      <c r="M36" s="53">
        <v>36081.17051878606</v>
      </c>
      <c r="N36" s="53">
        <v>3456.576135699704</v>
      </c>
      <c r="O36" s="53">
        <v>1298.5412805558904</v>
      </c>
      <c r="P36" s="172">
        <v>101.90936666387367</v>
      </c>
      <c r="Q36" s="53">
        <v>3.8216012498952625</v>
      </c>
      <c r="R36" s="53">
        <v>0</v>
      </c>
      <c r="S36" s="53">
        <v>149.78387705898987</v>
      </c>
      <c r="T36" s="53">
        <v>4.493516311769696</v>
      </c>
      <c r="U36" s="53">
        <v>0</v>
      </c>
      <c r="V36" s="53">
        <v>260.0083612845285</v>
      </c>
      <c r="W36" s="53">
        <v>0</v>
      </c>
      <c r="X36" s="54">
        <v>8.315117561664959</v>
      </c>
      <c r="Y36" s="4"/>
      <c r="Z36" s="172">
        <v>13359.309483976263</v>
      </c>
      <c r="AA36" s="54">
        <v>-13359.309483976263</v>
      </c>
    </row>
    <row r="37" spans="1:27" ht="15">
      <c r="A37" s="20">
        <v>2039</v>
      </c>
      <c r="B37" s="21"/>
      <c r="C37" s="333">
        <v>84</v>
      </c>
      <c r="D37" s="340">
        <v>0.0993</v>
      </c>
      <c r="E37" s="335">
        <v>34876.30721413551</v>
      </c>
      <c r="F37" s="335">
        <v>0</v>
      </c>
      <c r="G37" s="53">
        <v>18144.148855072104</v>
      </c>
      <c r="H37" s="53">
        <v>680.4055820652039</v>
      </c>
      <c r="I37" s="53">
        <v>1801.7139813086599</v>
      </c>
      <c r="J37" s="53">
        <v>17937.021663713953</v>
      </c>
      <c r="K37" s="53">
        <v>538.1106499114186</v>
      </c>
      <c r="L37" s="53">
        <v>1781.1462512067956</v>
      </c>
      <c r="M37" s="53">
        <v>33716.82651824722</v>
      </c>
      <c r="N37" s="53">
        <v>3348.0808732619485</v>
      </c>
      <c r="O37" s="53">
        <v>1218.5162319766225</v>
      </c>
      <c r="P37" s="172">
        <v>105.73096791376894</v>
      </c>
      <c r="Q37" s="53">
        <v>3.964911296766335</v>
      </c>
      <c r="R37" s="53">
        <v>0</v>
      </c>
      <c r="S37" s="53">
        <v>154.27739337075957</v>
      </c>
      <c r="T37" s="53">
        <v>4.6283218011227865</v>
      </c>
      <c r="U37" s="53">
        <v>0</v>
      </c>
      <c r="V37" s="53">
        <v>268.60159438241766</v>
      </c>
      <c r="W37" s="53">
        <v>0</v>
      </c>
      <c r="X37" s="54">
        <v>8.593233097889122</v>
      </c>
      <c r="Z37" s="172">
        <v>14280.124114069331</v>
      </c>
      <c r="AA37" s="54">
        <v>-14280.124114069331</v>
      </c>
    </row>
    <row r="38" spans="1:27" ht="15">
      <c r="A38" s="20">
        <v>2040</v>
      </c>
      <c r="B38" s="21"/>
      <c r="C38" s="333">
        <v>85</v>
      </c>
      <c r="D38" s="340">
        <v>0.1033</v>
      </c>
      <c r="E38" s="335">
        <v>35994.04500115533</v>
      </c>
      <c r="F38" s="335">
        <v>0</v>
      </c>
      <c r="G38" s="53">
        <v>17022.840455828646</v>
      </c>
      <c r="H38" s="53">
        <v>638.3565170935742</v>
      </c>
      <c r="I38" s="53">
        <v>1758.4594190870991</v>
      </c>
      <c r="J38" s="53">
        <v>16693.986062418575</v>
      </c>
      <c r="K38" s="53">
        <v>500.81958187255725</v>
      </c>
      <c r="L38" s="53">
        <v>1724.4887602478389</v>
      </c>
      <c r="M38" s="53">
        <v>31373.054437878414</v>
      </c>
      <c r="N38" s="53">
        <v>3240.8365234328403</v>
      </c>
      <c r="O38" s="53">
        <v>1139.1760989661316</v>
      </c>
      <c r="P38" s="172">
        <v>109.69587921053527</v>
      </c>
      <c r="Q38" s="53">
        <v>4.113595470395072</v>
      </c>
      <c r="R38" s="53">
        <v>0</v>
      </c>
      <c r="S38" s="53">
        <v>158.90571517188235</v>
      </c>
      <c r="T38" s="53">
        <v>4.76717145515647</v>
      </c>
      <c r="U38" s="53">
        <v>0</v>
      </c>
      <c r="V38" s="53">
        <v>277.48236130796914</v>
      </c>
      <c r="W38" s="53">
        <v>0</v>
      </c>
      <c r="X38" s="54">
        <v>8.880766925551542</v>
      </c>
      <c r="Z38" s="172">
        <v>15164.73145355394</v>
      </c>
      <c r="AA38" s="54">
        <v>-15164.73145355394</v>
      </c>
    </row>
    <row r="39" spans="1:27" ht="15">
      <c r="A39" s="20">
        <v>2041</v>
      </c>
      <c r="B39" s="21"/>
      <c r="C39" s="333">
        <v>86</v>
      </c>
      <c r="D39" s="340">
        <v>0.1079</v>
      </c>
      <c r="E39" s="335">
        <v>37134.94877675552</v>
      </c>
      <c r="F39" s="335">
        <v>0</v>
      </c>
      <c r="G39" s="53">
        <v>15902.737553835119</v>
      </c>
      <c r="H39" s="53">
        <v>596.352658268817</v>
      </c>
      <c r="I39" s="53">
        <v>1715.9053820588092</v>
      </c>
      <c r="J39" s="53">
        <v>15470.316884043294</v>
      </c>
      <c r="K39" s="53">
        <v>464.1095065212988</v>
      </c>
      <c r="L39" s="53">
        <v>1669.2471917882713</v>
      </c>
      <c r="M39" s="53">
        <v>29048.36402882145</v>
      </c>
      <c r="N39" s="53">
        <v>3134.3184787098344</v>
      </c>
      <c r="O39" s="53">
        <v>1060.4621647901158</v>
      </c>
      <c r="P39" s="172">
        <v>113.80947468093034</v>
      </c>
      <c r="Q39" s="53">
        <v>4.267855300534888</v>
      </c>
      <c r="R39" s="53">
        <v>0</v>
      </c>
      <c r="S39" s="53">
        <v>163.67288662703882</v>
      </c>
      <c r="T39" s="53">
        <v>4.910186598811165</v>
      </c>
      <c r="U39" s="53">
        <v>0</v>
      </c>
      <c r="V39" s="53">
        <v>286.6604032073152</v>
      </c>
      <c r="W39" s="53">
        <v>0</v>
      </c>
      <c r="X39" s="54">
        <v>9.178041899346052</v>
      </c>
      <c r="Z39" s="172">
        <v>16010.975595798154</v>
      </c>
      <c r="AA39" s="54">
        <v>-16010.975595798154</v>
      </c>
    </row>
    <row r="40" spans="1:27" ht="15">
      <c r="A40" s="20">
        <v>2042</v>
      </c>
      <c r="B40" s="21"/>
      <c r="C40" s="333">
        <v>87</v>
      </c>
      <c r="D40" s="340">
        <v>0.1133</v>
      </c>
      <c r="E40" s="335">
        <v>38302.97537157055</v>
      </c>
      <c r="F40" s="335">
        <v>0</v>
      </c>
      <c r="G40" s="53">
        <v>14783.184830045127</v>
      </c>
      <c r="H40" s="53">
        <v>554.3694311266922</v>
      </c>
      <c r="I40" s="53">
        <v>1674.934841244113</v>
      </c>
      <c r="J40" s="53">
        <v>14265.17919877632</v>
      </c>
      <c r="K40" s="53">
        <v>0</v>
      </c>
      <c r="L40" s="53">
        <v>1616.2448032213572</v>
      </c>
      <c r="M40" s="53">
        <v>26311.55381548267</v>
      </c>
      <c r="N40" s="53">
        <v>2981.0990472941867</v>
      </c>
      <c r="O40" s="53">
        <v>554.3694311266922</v>
      </c>
      <c r="P40" s="172">
        <v>118.07732998146523</v>
      </c>
      <c r="Q40" s="53">
        <v>4.427899874304946</v>
      </c>
      <c r="R40" s="53">
        <v>0</v>
      </c>
      <c r="S40" s="53">
        <v>168.58307322584997</v>
      </c>
      <c r="T40" s="53">
        <v>0</v>
      </c>
      <c r="U40" s="53">
        <v>0</v>
      </c>
      <c r="V40" s="53">
        <v>291.08830308162015</v>
      </c>
      <c r="W40" s="53">
        <v>1</v>
      </c>
      <c r="X40" s="54">
        <v>4.427899874304946</v>
      </c>
      <c r="Z40" s="172">
        <v>16830.990155671352</v>
      </c>
      <c r="AA40" s="54">
        <v>-16830.990155671352</v>
      </c>
    </row>
    <row r="41" spans="1:27" ht="15">
      <c r="A41" s="20">
        <v>2043</v>
      </c>
      <c r="B41" s="21"/>
      <c r="C41" s="333">
        <v>88</v>
      </c>
      <c r="D41" s="340">
        <v>0.1196</v>
      </c>
      <c r="E41" s="335">
        <v>39542.79710029827</v>
      </c>
      <c r="F41" s="335">
        <v>0</v>
      </c>
      <c r="G41" s="53">
        <v>13662.619419927707</v>
      </c>
      <c r="H41" s="53">
        <v>512.348228247289</v>
      </c>
      <c r="I41" s="53">
        <v>1634.0492826233537</v>
      </c>
      <c r="J41" s="53">
        <v>12648.934395554963</v>
      </c>
      <c r="K41" s="53">
        <v>0</v>
      </c>
      <c r="L41" s="53">
        <v>1512.8125537083736</v>
      </c>
      <c r="M41" s="53">
        <v>23677.040207398233</v>
      </c>
      <c r="N41" s="53">
        <v>2831.7740088048286</v>
      </c>
      <c r="O41" s="53">
        <v>512.348228247289</v>
      </c>
      <c r="P41" s="172">
        <v>122.50522985577017</v>
      </c>
      <c r="Q41" s="53">
        <v>4.593946119591381</v>
      </c>
      <c r="R41" s="53">
        <v>0</v>
      </c>
      <c r="S41" s="53">
        <v>169.58307322584997</v>
      </c>
      <c r="T41" s="53">
        <v>0</v>
      </c>
      <c r="U41" s="53">
        <v>0</v>
      </c>
      <c r="V41" s="53">
        <v>296.6822492012115</v>
      </c>
      <c r="W41" s="53">
        <v>2</v>
      </c>
      <c r="X41" s="54">
        <v>4.593946119591381</v>
      </c>
      <c r="Z41" s="172">
        <v>17582.046248854094</v>
      </c>
      <c r="AA41" s="54">
        <v>-17582.046248854094</v>
      </c>
    </row>
    <row r="42" spans="1:27" ht="15">
      <c r="A42" s="20">
        <v>2044</v>
      </c>
      <c r="B42" s="21"/>
      <c r="C42" s="333">
        <v>89</v>
      </c>
      <c r="D42" s="340">
        <v>0.1271</v>
      </c>
      <c r="E42" s="335">
        <v>40802.98304275681</v>
      </c>
      <c r="F42" s="335">
        <v>0</v>
      </c>
      <c r="G42" s="53">
        <v>12540.918365551643</v>
      </c>
      <c r="H42" s="53">
        <v>470.2844387081866</v>
      </c>
      <c r="I42" s="53">
        <v>1593.9507242616137</v>
      </c>
      <c r="J42" s="53">
        <v>11136.121841846589</v>
      </c>
      <c r="K42" s="53">
        <v>0</v>
      </c>
      <c r="L42" s="53">
        <v>1415.4010860987014</v>
      </c>
      <c r="M42" s="53">
        <v>21137.972835746103</v>
      </c>
      <c r="N42" s="53">
        <v>2686.6363474233294</v>
      </c>
      <c r="O42" s="53">
        <v>470.2844387081866</v>
      </c>
      <c r="P42" s="172">
        <v>127.09917597536155</v>
      </c>
      <c r="Q42" s="53">
        <v>4.766219099076058</v>
      </c>
      <c r="R42" s="53">
        <v>0</v>
      </c>
      <c r="S42" s="53">
        <v>171.58307322584997</v>
      </c>
      <c r="T42" s="53">
        <v>0</v>
      </c>
      <c r="U42" s="53">
        <v>0</v>
      </c>
      <c r="V42" s="53">
        <v>303.4484683002876</v>
      </c>
      <c r="W42" s="53">
        <v>3</v>
      </c>
      <c r="X42" s="54">
        <v>4.766219099076058</v>
      </c>
      <c r="Z42" s="172">
        <v>18313.679989762342</v>
      </c>
      <c r="AA42" s="54">
        <v>-18313.679989762342</v>
      </c>
    </row>
    <row r="43" spans="1:27" ht="15">
      <c r="A43" s="20">
        <v>2045</v>
      </c>
      <c r="B43" s="21"/>
      <c r="C43" s="333">
        <v>90</v>
      </c>
      <c r="D43" s="340">
        <v>0.1362</v>
      </c>
      <c r="E43" s="335">
        <v>42083.83995248807</v>
      </c>
      <c r="F43" s="335">
        <v>0</v>
      </c>
      <c r="G43" s="53">
        <v>11417.252079998216</v>
      </c>
      <c r="H43" s="53">
        <v>428.1469529999331</v>
      </c>
      <c r="I43" s="53">
        <v>1555.0297332957568</v>
      </c>
      <c r="J43" s="53">
        <v>9720.720755747887</v>
      </c>
      <c r="K43" s="53">
        <v>0</v>
      </c>
      <c r="L43" s="53">
        <v>1323.9621669328621</v>
      </c>
      <c r="M43" s="53">
        <v>18687.127888517418</v>
      </c>
      <c r="N43" s="53">
        <v>2545.186818416072</v>
      </c>
      <c r="O43" s="53">
        <v>428.1469529999331</v>
      </c>
      <c r="P43" s="172">
        <v>131.8653950744376</v>
      </c>
      <c r="Q43" s="53">
        <v>4.94495231529141</v>
      </c>
      <c r="R43" s="53">
        <v>0</v>
      </c>
      <c r="S43" s="53">
        <v>174.58307322584997</v>
      </c>
      <c r="T43" s="53">
        <v>0</v>
      </c>
      <c r="U43" s="53">
        <v>0</v>
      </c>
      <c r="V43" s="53">
        <v>311.393420615579</v>
      </c>
      <c r="W43" s="53">
        <v>4</v>
      </c>
      <c r="X43" s="54">
        <v>4.94495231529141</v>
      </c>
      <c r="Z43" s="172">
        <v>18934.556994255152</v>
      </c>
      <c r="AA43" s="54">
        <v>-18934.556994255152</v>
      </c>
    </row>
    <row r="44" spans="1:27" ht="15.75" thickBot="1">
      <c r="A44" s="28">
        <v>2046</v>
      </c>
      <c r="B44" s="55"/>
      <c r="C44" s="334">
        <v>91</v>
      </c>
      <c r="D44" s="341">
        <v>0.1473</v>
      </c>
      <c r="E44" s="336">
        <v>43389.20026536245</v>
      </c>
      <c r="F44" s="336">
        <v>0</v>
      </c>
      <c r="G44" s="56">
        <v>10290.369299702394</v>
      </c>
      <c r="H44" s="56">
        <v>385.8888487388397</v>
      </c>
      <c r="I44" s="56">
        <v>1515.7713978461625</v>
      </c>
      <c r="J44" s="56">
        <v>8396.758588815024</v>
      </c>
      <c r="K44" s="56">
        <v>0</v>
      </c>
      <c r="L44" s="56">
        <v>1236.842540132453</v>
      </c>
      <c r="M44" s="56">
        <v>16320.402799277643</v>
      </c>
      <c r="N44" s="56">
        <v>2403.9953323335967</v>
      </c>
      <c r="O44" s="56">
        <v>385.8888487388397</v>
      </c>
      <c r="P44" s="173">
        <v>136.810347389729</v>
      </c>
      <c r="Q44" s="56">
        <v>5.130388027114837</v>
      </c>
      <c r="R44" s="56">
        <v>0</v>
      </c>
      <c r="S44" s="56">
        <v>178.58307322584997</v>
      </c>
      <c r="T44" s="56">
        <v>0</v>
      </c>
      <c r="U44" s="56">
        <v>0</v>
      </c>
      <c r="V44" s="56">
        <v>320.5238086426938</v>
      </c>
      <c r="W44" s="56">
        <v>5</v>
      </c>
      <c r="X44" s="57">
        <v>5.130388027114837</v>
      </c>
      <c r="Z44" s="173">
        <v>19522.069315975772</v>
      </c>
      <c r="AA44" s="57">
        <v>-19522.069315975772</v>
      </c>
    </row>
    <row r="45" spans="1:24" ht="15">
      <c r="A45" s="21"/>
      <c r="B45" s="21"/>
      <c r="C45" s="31"/>
      <c r="D45" s="21"/>
      <c r="E45" s="21"/>
      <c r="F45" s="21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7:24" ht="1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7:24" ht="1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7:24" ht="1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7:24" ht="1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7:24" ht="1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7:24" ht="1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7:24" ht="1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7:24" ht="1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7:24" ht="1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7:24" ht="1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7:24" ht="1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7:24" ht="1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7:24" ht="1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7:24" ht="1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7:24" ht="1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7:24" ht="1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7:24" ht="1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7:24" ht="1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7:24" ht="1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7:24" ht="1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7:24" ht="1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7:24" ht="1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7:24" ht="1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7:24" ht="1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7:24" ht="1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7:24" ht="1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7:24" ht="1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7:24" ht="1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7:24" ht="1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7:24" ht="1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7:24" ht="1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7:24" ht="1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7:24" ht="1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7:24" ht="1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7:24" ht="1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7:24" ht="1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7:24" ht="1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7:24" ht="1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7:24" ht="1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7:24" ht="1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7:24" ht="1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7:24" ht="1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7:24" ht="1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7:24" ht="1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7:24" ht="1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7:24" ht="1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7:24" ht="1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7:24" ht="1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7:24" ht="1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7:24" ht="1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7:24" ht="1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7:24" ht="1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7:24" ht="1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7:24" ht="1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7:24" ht="1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7:24" ht="1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7:24" ht="1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7:24" ht="1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7:24" ht="1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7:24" ht="1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7:24" ht="1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7:24" ht="1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7:24" ht="1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7:24" ht="1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7:24" ht="1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7:24" ht="1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7:24" ht="1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7:24" ht="1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7:24" ht="1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7:24" ht="1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7:24" ht="1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7:24" ht="1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7:24" ht="1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7:24" ht="1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7:24" ht="1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7:24" ht="1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7:24" ht="1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7:24" ht="1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7:24" ht="1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7:24" ht="1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7:24" ht="1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7:24" ht="1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7:24" ht="1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7:24" ht="1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7:24" ht="1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7:24" ht="1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7:24" ht="1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7:24" ht="1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7:24" ht="1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7:24" ht="1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7:24" ht="1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7:24" ht="1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7:24" ht="1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7:24" ht="1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7:24" ht="1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7:24" ht="1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7:24" ht="1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7:24" ht="1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7:24" ht="1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7:24" ht="1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7:24" ht="1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7:24" ht="1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7:24" ht="1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7:24" ht="1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7:24" ht="1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7:24" ht="1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7:24" ht="1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7:24" ht="1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7:24" ht="1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7:24" ht="1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7:24" ht="1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7:24" ht="1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7:24" ht="1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7:24" ht="1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7:24" ht="1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7:24" ht="1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7:24" ht="1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7:24" ht="1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7:24" ht="1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7:24" ht="1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7:24" ht="1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7:24" ht="1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7:24" ht="1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7:24" ht="1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7:24" ht="1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7:24" ht="1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7:24" ht="1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7:24" ht="1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7:24" ht="1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7:24" ht="1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7:24" ht="1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7:24" ht="1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7:24" ht="1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7:24" ht="1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7:24" ht="1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7:24" ht="1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7:24" ht="1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7:24" ht="1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7:24" ht="1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7:24" ht="1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7:24" ht="1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7:24" ht="1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7:24" ht="1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7:24" ht="1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7:24" ht="1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7:24" ht="1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7:24" ht="1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7:24" ht="1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7:24" ht="1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7:24" ht="1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7:24" ht="1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7:24" ht="1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7:24" ht="1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7:24" ht="1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7:24" ht="1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7:24" ht="1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7:24" ht="1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7:24" ht="1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7:24" ht="1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7:24" ht="1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7:24" ht="1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7:24" ht="1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7:24" ht="1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7:24" ht="1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7:24" ht="1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7:24" ht="1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7:24" ht="1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7:24" ht="1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7:24" ht="1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7:24" ht="1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7:24" ht="1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7:24" ht="1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7:24" ht="1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7:24" ht="1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7:24" ht="1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7:24" ht="1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7:24" ht="1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7:24" ht="1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7:24" ht="1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7:24" ht="1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7:24" ht="1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7:24" ht="1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7:24" ht="1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7:24" ht="1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7:24" ht="1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7:24" ht="1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7:24" ht="1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7:24" ht="1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7:24" ht="1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7:24" ht="1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7:24" ht="1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7:24" ht="1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7:24" ht="1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7:24" ht="1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7:24" ht="1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7:24" ht="1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7:24" ht="1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7:24" ht="1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7:24" ht="1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7:24" ht="1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7:24" ht="1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7:24" ht="1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7:24" ht="1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7:24" ht="1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7:24" ht="1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7:24" ht="1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7:24" ht="1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7:24" ht="1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7:24" ht="1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7:24" ht="1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7:24" ht="1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7:24" ht="1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7:24" ht="1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7:24" ht="1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7:24" ht="1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7:24" ht="1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7:24" ht="1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7:24" ht="1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7:24" ht="1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7:24" ht="1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7:24" ht="1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7:24" ht="1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7:24" ht="1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7:24" ht="1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7:24" ht="1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7:24" ht="1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7:24" ht="1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7:24" ht="1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7:24" ht="1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7:24" ht="1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7:24" ht="1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7:24" ht="1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7:24" ht="1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7:24" ht="1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7:24" ht="1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7:24" ht="1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7:24" ht="1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7:24" ht="1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7:24" ht="1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7:24" ht="1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7:24" ht="1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7:24" ht="1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7:24" ht="1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7:24" ht="1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7:24" ht="1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7:24" ht="1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7:24" ht="1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7:24" ht="1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7:24" ht="1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7:24" ht="1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7:24" ht="1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7:24" ht="1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7:24" ht="1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7:24" ht="1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7:24" ht="1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7:24" ht="1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7:24" ht="1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7:24" ht="1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7:24" ht="1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7:24" ht="1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7:24" ht="1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7:24" ht="1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7:24" ht="1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7:24" ht="1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7:24" ht="1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7:24" ht="1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7:24" ht="1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7:24" ht="1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7:24" ht="1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7:24" ht="1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7:24" ht="1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7:24" ht="1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7:24" ht="1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7:24" ht="1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7:24" ht="1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7:24" ht="1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7:24" ht="1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7:24" ht="1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7:24" ht="1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7:24" ht="1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7:24" ht="1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7:24" ht="1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7:24" ht="1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7:24" ht="1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7:24" ht="1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7:24" ht="1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7:24" ht="1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7:24" ht="1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7:24" ht="1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7:24" ht="1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7:24" ht="1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7:24" ht="1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7:24" ht="1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7:24" ht="1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7:24" ht="1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7:24" ht="1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7:24" ht="1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7:24" ht="1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7:24" ht="1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7:24" ht="1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7:24" ht="1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7:24" ht="1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7:24" ht="1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7:24" ht="1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7:24" ht="1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7:24" ht="1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7:24" ht="1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7:24" ht="1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7:24" ht="1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7:24" ht="1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7:24" ht="1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7:24" ht="1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7:24" ht="1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7:24" ht="1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7:24" ht="1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7:24" ht="1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7:24" ht="1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7:24" ht="1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7:24" ht="1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7:24" ht="1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7:24" ht="1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7:24" ht="1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7:24" ht="1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7:24" ht="1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7:24" ht="1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7:24" ht="1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7:24" ht="1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7:24" ht="1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7:24" ht="1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7:24" ht="1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7:24" ht="1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7:24" ht="1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7:24" ht="1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7:24" ht="1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7:24" ht="1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7:24" ht="1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7:24" ht="1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7:24" ht="1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7:24" ht="1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7:24" ht="1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7:24" ht="1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7:24" ht="1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7:24" ht="1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7:24" ht="1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7:24" ht="1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7:24" ht="1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7:24" ht="1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7:24" ht="1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7:24" ht="1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7:24" ht="1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7:24" ht="1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7:24" ht="1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7:24" ht="1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7:24" ht="1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7:24" ht="1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7:24" ht="1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7:24" ht="1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7:24" ht="1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7:24" ht="1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7:24" ht="1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7:24" ht="1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7:24" ht="1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7:24" ht="1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7:24" ht="1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7:24" ht="1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7:24" ht="1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7:24" ht="1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7:24" ht="1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7:24" ht="1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7:24" ht="1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7:24" ht="1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7:24" ht="15"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7:24" ht="15"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7:24" ht="15"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7:24" ht="15"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7:24" ht="15"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7:24" ht="15"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7:24" ht="15"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7:24" ht="15"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7:24" ht="15"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7:24" ht="15"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7:24" ht="15"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7:24" ht="15"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7:24" ht="15"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7:24" ht="15"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7:24" ht="15"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7:24" ht="15"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7:24" ht="15"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7:24" ht="15"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7:24" ht="15"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7:24" ht="15"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7:24" ht="15"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7:24" ht="15"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7:24" ht="15"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7:24" ht="15"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7:24" ht="15"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7:24" ht="15"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7:24" ht="15"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7:24" ht="15"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7:24" ht="15"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7:24" ht="15"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7:24" ht="15"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7:24" ht="15"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7:24" ht="15"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7:24" ht="15"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7:24" ht="15"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7:24" ht="15"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7:24" ht="15"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7:24" ht="15"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7:24" ht="15"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7:24" ht="15"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7:24" ht="15"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7:24" ht="15"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7:24" ht="15"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7:24" ht="15"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7:24" ht="15"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7:24" ht="15"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7:24" ht="15"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7:24" ht="15"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7:24" ht="15"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7:24" ht="15"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7:24" ht="15"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7:24" ht="15"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7:24" ht="15"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7:24" ht="15"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7:24" ht="15"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7:24" ht="15"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7:24" ht="15"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7:24" ht="15"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7:24" ht="15"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7:24" ht="15"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7:24" ht="15"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7:24" ht="15"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7:24" ht="15"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7:24" ht="15"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7:24" ht="15"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7:24" ht="15"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7:24" ht="15"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7:24" ht="15"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7:24" ht="15"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7:24" ht="15"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7:24" ht="15"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7:24" ht="15"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7:24" ht="15"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7:24" ht="15"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7:24" ht="15"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7:24" ht="15"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7:24" ht="15"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7:24" ht="15"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7:24" ht="15"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7:24" ht="15"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7:24" ht="15"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7:24" ht="15"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7:24" ht="15"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7:24" ht="15"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7:24" ht="15"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7:24" ht="15"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7:24" ht="15"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7:24" ht="15"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7:24" ht="15"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7:24" ht="15"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7:24" ht="15"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7:24" ht="15"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7:24" ht="15"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7:24" ht="15"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7:24" ht="15"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7:24" ht="15"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7:24" ht="15"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7:24" ht="15"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7:24" ht="15"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7:24" ht="15"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7:24" ht="15"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7:24" ht="15"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7:24" ht="15"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7:24" ht="15"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7:24" ht="15"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7:24" ht="15"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7:24" ht="15"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7:24" ht="15"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7:24" ht="15"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7:24" ht="15"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7:24" ht="15"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7:24" ht="15"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7:24" ht="15"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7:24" ht="15"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7:24" ht="15"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7:24" ht="15"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7:24" ht="15"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7:24" ht="15"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7:24" ht="15"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7:24" ht="15"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7:24" ht="15"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7:24" ht="15"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7:24" ht="15"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7:24" ht="15"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7:24" ht="15"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7:24" ht="15"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7:24" ht="15"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7:24" ht="15"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7:24" ht="15"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7:24" ht="15"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7:24" ht="15"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7:24" ht="15"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7:24" ht="15"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7:24" ht="15"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7:24" ht="15"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7:24" ht="15"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7:24" ht="15"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7:24" ht="15"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7:24" ht="15"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7:24" ht="15"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7:24" ht="15"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7:24" ht="15"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7:24" ht="15"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7:24" ht="15"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7:24" ht="15"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</sheetData>
  <sheetProtection password="DF35" sheet="1" objects="1" scenarios="1"/>
  <printOptions gridLines="1" horizontalCentered="1" verticalCentered="1"/>
  <pageMargins left="0.75" right="0.75" top="1" bottom="1" header="0.5" footer="0.5"/>
  <pageSetup horizontalDpi="300" verticalDpi="300" orientation="landscape" scale="70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8.57421875" style="1" bestFit="1" customWidth="1"/>
    <col min="3" max="3" width="7.8515625" style="5" bestFit="1" customWidth="1"/>
    <col min="4" max="5" width="10.28125" style="1" bestFit="1" customWidth="1"/>
    <col min="6" max="6" width="13.140625" style="1" bestFit="1" customWidth="1"/>
    <col min="7" max="7" width="11.57421875" style="1" bestFit="1" customWidth="1"/>
    <col min="8" max="8" width="10.28125" style="1" bestFit="1" customWidth="1"/>
    <col min="9" max="9" width="16.421875" style="1" customWidth="1"/>
    <col min="10" max="10" width="20.00390625" style="1" customWidth="1"/>
    <col min="11" max="11" width="19.00390625" style="1" hidden="1" customWidth="1"/>
    <col min="12" max="12" width="13.28125" style="1" customWidth="1"/>
    <col min="13" max="13" width="13.57421875" style="1" customWidth="1"/>
    <col min="14" max="14" width="9.140625" style="1" customWidth="1"/>
    <col min="15" max="15" width="15.57421875" style="1" bestFit="1" customWidth="1"/>
    <col min="16" max="16" width="17.28125" style="1" customWidth="1"/>
    <col min="17" max="17" width="11.57421875" style="1" bestFit="1" customWidth="1"/>
    <col min="18" max="16384" width="9.140625" style="1" customWidth="1"/>
  </cols>
  <sheetData>
    <row r="1" spans="1:12" s="399" customFormat="1" ht="21" thickBot="1">
      <c r="A1" s="418" t="s">
        <v>312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  <c r="L1" s="586"/>
    </row>
    <row r="2" spans="1:13" s="5" customFormat="1" ht="9" customHeight="1" thickBot="1">
      <c r="A2" s="629"/>
      <c r="B2" s="624"/>
      <c r="C2" s="624"/>
      <c r="D2" s="624"/>
      <c r="E2" s="624"/>
      <c r="F2" s="624"/>
      <c r="G2" s="624"/>
      <c r="H2" s="624"/>
      <c r="I2" s="624"/>
      <c r="J2" s="630"/>
      <c r="K2" s="401" t="s">
        <v>150</v>
      </c>
      <c r="L2" s="401"/>
      <c r="M2" s="153"/>
    </row>
    <row r="3" spans="1:17" s="5" customFormat="1" ht="32.25" thickBot="1">
      <c r="A3" s="296" t="s">
        <v>23</v>
      </c>
      <c r="B3" s="153" t="s">
        <v>241</v>
      </c>
      <c r="C3" s="153" t="s">
        <v>24</v>
      </c>
      <c r="D3" s="297" t="s">
        <v>278</v>
      </c>
      <c r="E3" s="162" t="s">
        <v>285</v>
      </c>
      <c r="F3" s="295" t="s">
        <v>135</v>
      </c>
      <c r="G3" s="297" t="s">
        <v>278</v>
      </c>
      <c r="H3" s="162" t="s">
        <v>285</v>
      </c>
      <c r="I3" s="393" t="s">
        <v>310</v>
      </c>
      <c r="J3" s="400" t="s">
        <v>311</v>
      </c>
      <c r="K3" s="400" t="s">
        <v>151</v>
      </c>
      <c r="L3" s="447" t="s">
        <v>124</v>
      </c>
      <c r="M3" s="153"/>
      <c r="O3" s="8" t="s">
        <v>135</v>
      </c>
      <c r="P3" s="9" t="s">
        <v>310</v>
      </c>
      <c r="Q3" s="239" t="s">
        <v>2</v>
      </c>
    </row>
    <row r="4" spans="1:17" ht="15">
      <c r="A4" s="18"/>
      <c r="B4" s="19"/>
      <c r="C4" s="9"/>
      <c r="D4" s="18"/>
      <c r="E4" s="19"/>
      <c r="F4" s="59"/>
      <c r="G4" s="18"/>
      <c r="H4" s="193"/>
      <c r="I4" s="59"/>
      <c r="J4" s="383"/>
      <c r="K4" s="301"/>
      <c r="L4" s="301"/>
      <c r="M4" s="21"/>
      <c r="O4" s="20"/>
      <c r="P4" s="21"/>
      <c r="Q4" s="99"/>
    </row>
    <row r="5" spans="1:17" ht="15.75">
      <c r="A5" s="20">
        <v>2008</v>
      </c>
      <c r="B5" s="136" t="s">
        <v>349</v>
      </c>
      <c r="C5" s="31"/>
      <c r="D5" s="298">
        <v>35000</v>
      </c>
      <c r="E5" s="53">
        <v>52000</v>
      </c>
      <c r="F5" s="52">
        <v>87000</v>
      </c>
      <c r="G5" s="298">
        <v>24500</v>
      </c>
      <c r="H5" s="53">
        <v>46000</v>
      </c>
      <c r="I5" s="52">
        <v>70500</v>
      </c>
      <c r="J5" s="385">
        <v>157500</v>
      </c>
      <c r="K5" s="36"/>
      <c r="L5" s="36"/>
      <c r="M5" s="21"/>
      <c r="O5" s="20"/>
      <c r="P5" s="21"/>
      <c r="Q5" s="99"/>
    </row>
    <row r="6" spans="1:17" ht="15.75">
      <c r="A6" s="20">
        <v>2009</v>
      </c>
      <c r="B6" s="21"/>
      <c r="C6" s="333">
        <v>54</v>
      </c>
      <c r="D6" s="298">
        <v>38193.173985658876</v>
      </c>
      <c r="E6" s="53">
        <v>53755</v>
      </c>
      <c r="F6" s="52">
        <v>91948.17398565888</v>
      </c>
      <c r="G6" s="298">
        <v>25302.5</v>
      </c>
      <c r="H6" s="53">
        <v>46083.68861179677</v>
      </c>
      <c r="I6" s="52">
        <v>71386.18861179677</v>
      </c>
      <c r="J6" s="385">
        <v>163334.36259745565</v>
      </c>
      <c r="K6" s="302" t="e">
        <v>#REF!</v>
      </c>
      <c r="L6" s="275">
        <v>-1908.0921983487788</v>
      </c>
      <c r="M6" s="53"/>
      <c r="N6" s="4"/>
      <c r="O6" s="172"/>
      <c r="P6" s="53"/>
      <c r="Q6" s="54"/>
    </row>
    <row r="7" spans="1:18" ht="15.75">
      <c r="A7" s="20">
        <v>2010</v>
      </c>
      <c r="B7" s="21"/>
      <c r="C7" s="333">
        <v>55</v>
      </c>
      <c r="D7" s="298">
        <v>41548.170810957825</v>
      </c>
      <c r="E7" s="53">
        <v>55569.9625</v>
      </c>
      <c r="F7" s="52">
        <v>97118.13331095783</v>
      </c>
      <c r="G7" s="298">
        <v>26131.60625</v>
      </c>
      <c r="H7" s="53">
        <v>46173.32042000372</v>
      </c>
      <c r="I7" s="52">
        <v>72304.92667000373</v>
      </c>
      <c r="J7" s="229">
        <v>169423.05998096155</v>
      </c>
      <c r="K7" s="302" t="e">
        <v>#REF!</v>
      </c>
      <c r="L7" s="275">
        <v>-1765.1647510288021</v>
      </c>
      <c r="M7" s="53"/>
      <c r="N7" s="4"/>
      <c r="O7" s="172">
        <f aca="true" t="shared" si="0" ref="O7:O38">F7-F6</f>
        <v>5169.959325298943</v>
      </c>
      <c r="P7" s="53">
        <f aca="true" t="shared" si="1" ref="P7:P38">I7-I6</f>
        <v>918.73805820696</v>
      </c>
      <c r="Q7" s="54">
        <f aca="true" t="shared" si="2" ref="Q7:Q38">J7-J6</f>
        <v>6088.697383505903</v>
      </c>
      <c r="R7" s="7"/>
    </row>
    <row r="8" spans="1:17" ht="15.75">
      <c r="A8" s="20">
        <v>2011</v>
      </c>
      <c r="B8" s="21"/>
      <c r="C8" s="333">
        <v>56</v>
      </c>
      <c r="D8" s="298">
        <v>44958.27880767014</v>
      </c>
      <c r="E8" s="53">
        <v>57446.96059375</v>
      </c>
      <c r="F8" s="52">
        <v>102405.23940142014</v>
      </c>
      <c r="G8" s="298">
        <v>26988.211859375002</v>
      </c>
      <c r="H8" s="53">
        <v>46369.44568051829</v>
      </c>
      <c r="I8" s="52">
        <v>73357.65753989329</v>
      </c>
      <c r="J8" s="229">
        <v>175762.89694131343</v>
      </c>
      <c r="K8" s="302" t="e">
        <v>#REF!</v>
      </c>
      <c r="L8" s="275">
        <v>-1660.6662418504056</v>
      </c>
      <c r="M8" s="53"/>
      <c r="N8" s="4"/>
      <c r="O8" s="172">
        <f t="shared" si="0"/>
        <v>5287.1060904623155</v>
      </c>
      <c r="P8" s="53">
        <f t="shared" si="1"/>
        <v>1052.730869889565</v>
      </c>
      <c r="Q8" s="54">
        <f t="shared" si="2"/>
        <v>6339.83696035188</v>
      </c>
    </row>
    <row r="9" spans="1:17" ht="15.75">
      <c r="A9" s="20">
        <v>2012</v>
      </c>
      <c r="B9" s="21"/>
      <c r="C9" s="333">
        <v>57</v>
      </c>
      <c r="D9" s="298">
        <v>48527.65292331111</v>
      </c>
      <c r="E9" s="53">
        <v>59388.13985101563</v>
      </c>
      <c r="F9" s="52">
        <v>107915.79277432674</v>
      </c>
      <c r="G9" s="298">
        <v>34048.31664352758</v>
      </c>
      <c r="H9" s="53">
        <v>48231.95030991256</v>
      </c>
      <c r="I9" s="52">
        <v>82280.26695344014</v>
      </c>
      <c r="J9" s="229">
        <v>190196.05972776687</v>
      </c>
      <c r="K9" s="302" t="e">
        <v>#REF!</v>
      </c>
      <c r="L9" s="275">
        <v>6175.076353176009</v>
      </c>
      <c r="M9" s="53"/>
      <c r="N9" s="4"/>
      <c r="O9" s="172">
        <f t="shared" si="0"/>
        <v>5510.553372906594</v>
      </c>
      <c r="P9" s="53">
        <f t="shared" si="1"/>
        <v>8922.609413546845</v>
      </c>
      <c r="Q9" s="54">
        <f t="shared" si="2"/>
        <v>14433.162786453438</v>
      </c>
    </row>
    <row r="10" spans="1:17" ht="15.75">
      <c r="A10" s="20">
        <v>2013</v>
      </c>
      <c r="B10" s="21"/>
      <c r="C10" s="333">
        <v>58</v>
      </c>
      <c r="D10" s="298">
        <v>52262.59387378752</v>
      </c>
      <c r="E10" s="53">
        <v>61395.720877478714</v>
      </c>
      <c r="F10" s="52">
        <v>113658.31475126624</v>
      </c>
      <c r="G10" s="298">
        <v>41432.34210319038</v>
      </c>
      <c r="H10" s="53">
        <v>50161.94187637747</v>
      </c>
      <c r="I10" s="52">
        <v>91594.28397956784</v>
      </c>
      <c r="J10" s="229">
        <v>205252.59873083408</v>
      </c>
      <c r="K10" s="302" t="e">
        <v>#REF!</v>
      </c>
      <c r="L10" s="275">
        <v>6238.053984693019</v>
      </c>
      <c r="M10" s="53"/>
      <c r="N10" s="4"/>
      <c r="O10" s="172">
        <f t="shared" si="0"/>
        <v>5742.521976939504</v>
      </c>
      <c r="P10" s="53">
        <f t="shared" si="1"/>
        <v>9314.017026127709</v>
      </c>
      <c r="Q10" s="54">
        <f t="shared" si="2"/>
        <v>15056.539003067213</v>
      </c>
    </row>
    <row r="11" spans="1:17" ht="15.75">
      <c r="A11" s="20">
        <v>2014</v>
      </c>
      <c r="B11" s="21"/>
      <c r="C11" s="333">
        <v>59</v>
      </c>
      <c r="D11" s="298">
        <v>56169.63288869821</v>
      </c>
      <c r="E11" s="53">
        <v>63472.001965895666</v>
      </c>
      <c r="F11" s="52">
        <v>119641.63485459387</v>
      </c>
      <c r="G11" s="298">
        <v>42851.28932092264</v>
      </c>
      <c r="H11" s="53">
        <v>32250.85472106847</v>
      </c>
      <c r="I11" s="52">
        <v>75102.14404199111</v>
      </c>
      <c r="J11" s="229">
        <v>194743.778896585</v>
      </c>
      <c r="K11" s="302" t="e">
        <v>#REF!</v>
      </c>
      <c r="L11" s="275">
        <v>-19910.086312216343</v>
      </c>
      <c r="M11" s="53"/>
      <c r="N11" s="4"/>
      <c r="O11" s="172">
        <f t="shared" si="0"/>
        <v>5983.320103327627</v>
      </c>
      <c r="P11" s="53">
        <f t="shared" si="1"/>
        <v>-16492.139937576736</v>
      </c>
      <c r="Q11" s="54">
        <f t="shared" si="2"/>
        <v>-10508.819834249094</v>
      </c>
    </row>
    <row r="12" spans="1:17" ht="15.75">
      <c r="A12" s="20">
        <v>2015</v>
      </c>
      <c r="B12" s="21"/>
      <c r="C12" s="333">
        <v>60</v>
      </c>
      <c r="D12" s="298">
        <v>60233.27590507858</v>
      </c>
      <c r="E12" s="53">
        <v>65619.3618417936</v>
      </c>
      <c r="F12" s="52">
        <v>125852.63774687218</v>
      </c>
      <c r="G12" s="298">
        <v>51819.798723911124</v>
      </c>
      <c r="H12" s="53">
        <v>33359.005813677024</v>
      </c>
      <c r="I12" s="52">
        <v>85178.80453758815</v>
      </c>
      <c r="J12" s="229">
        <v>211031.44228446033</v>
      </c>
      <c r="K12" s="302" t="e">
        <v>#REF!</v>
      </c>
      <c r="L12" s="275">
        <v>7500.394632925381</v>
      </c>
      <c r="M12" s="53"/>
      <c r="N12" s="4"/>
      <c r="O12" s="172">
        <f t="shared" si="0"/>
        <v>6211.002892278309</v>
      </c>
      <c r="P12" s="53">
        <f t="shared" si="1"/>
        <v>10076.66049559704</v>
      </c>
      <c r="Q12" s="54">
        <f t="shared" si="2"/>
        <v>16287.663387875335</v>
      </c>
    </row>
    <row r="13" spans="1:17" ht="15.75">
      <c r="A13" s="20">
        <v>2016</v>
      </c>
      <c r="B13" s="21"/>
      <c r="C13" s="333">
        <v>61</v>
      </c>
      <c r="D13" s="298">
        <v>64480.10436902137</v>
      </c>
      <c r="E13" s="53">
        <v>67840.26250710299</v>
      </c>
      <c r="F13" s="52">
        <v>132320.36687612435</v>
      </c>
      <c r="G13" s="298">
        <v>61177.59821819804</v>
      </c>
      <c r="H13" s="53">
        <v>34505.67489347545</v>
      </c>
      <c r="I13" s="52">
        <v>95683.2731116735</v>
      </c>
      <c r="J13" s="229">
        <v>228003.63998779783</v>
      </c>
      <c r="K13" s="302" t="e">
        <v>#REF!</v>
      </c>
      <c r="L13" s="275">
        <v>7557.529878995891</v>
      </c>
      <c r="M13" s="53"/>
      <c r="N13" s="4"/>
      <c r="O13" s="172">
        <f t="shared" si="0"/>
        <v>6467.7291292521695</v>
      </c>
      <c r="P13" s="53">
        <f t="shared" si="1"/>
        <v>10504.468574085346</v>
      </c>
      <c r="Q13" s="54">
        <f t="shared" si="2"/>
        <v>16972.1977033375</v>
      </c>
    </row>
    <row r="14" spans="1:17" ht="15.75">
      <c r="A14" s="20">
        <v>2017</v>
      </c>
      <c r="B14" s="21"/>
      <c r="C14" s="333">
        <v>62</v>
      </c>
      <c r="D14" s="298">
        <v>68917.21370936753</v>
      </c>
      <c r="E14" s="53">
        <v>70137.25218524877</v>
      </c>
      <c r="F14" s="52">
        <v>139054.4658946163</v>
      </c>
      <c r="G14" s="298">
        <v>67504.70816558656</v>
      </c>
      <c r="H14" s="53">
        <v>35692.21525461989</v>
      </c>
      <c r="I14" s="52">
        <v>103196.92342020645</v>
      </c>
      <c r="J14" s="385">
        <v>242251.38931482274</v>
      </c>
      <c r="K14" s="302" t="e">
        <v>#REF!</v>
      </c>
      <c r="L14" s="275">
        <v>4180.212036167417</v>
      </c>
      <c r="M14" s="53"/>
      <c r="N14" s="4"/>
      <c r="O14" s="172">
        <f t="shared" si="0"/>
        <v>6734.09901849195</v>
      </c>
      <c r="P14" s="53">
        <f t="shared" si="1"/>
        <v>7513.6503085329605</v>
      </c>
      <c r="Q14" s="54">
        <f t="shared" si="2"/>
        <v>14247.74932702491</v>
      </c>
    </row>
    <row r="15" spans="1:17" ht="15.75">
      <c r="A15" s="20">
        <v>2018</v>
      </c>
      <c r="B15" s="21"/>
      <c r="C15" s="333">
        <v>63</v>
      </c>
      <c r="D15" s="298">
        <v>71146.64468289514</v>
      </c>
      <c r="E15" s="53">
        <v>72512.96837134889</v>
      </c>
      <c r="F15" s="52">
        <v>143659.61305424402</v>
      </c>
      <c r="G15" s="298">
        <v>33117.67726765944</v>
      </c>
      <c r="H15" s="53">
        <v>36920.028205886425</v>
      </c>
      <c r="I15" s="52">
        <v>70037.70547354587</v>
      </c>
      <c r="J15" s="385">
        <v>213697.3185277899</v>
      </c>
      <c r="K15" s="302" t="e">
        <v>#REF!</v>
      </c>
      <c r="L15" s="275">
        <v>-36766.777571516475</v>
      </c>
      <c r="M15" s="53"/>
      <c r="N15" s="4"/>
      <c r="O15" s="172">
        <f t="shared" si="0"/>
        <v>4605.147159627726</v>
      </c>
      <c r="P15" s="53">
        <f t="shared" si="1"/>
        <v>-33159.21794666059</v>
      </c>
      <c r="Q15" s="54">
        <f t="shared" si="2"/>
        <v>-28554.070787032833</v>
      </c>
    </row>
    <row r="16" spans="1:17" ht="15.75">
      <c r="A16" s="20">
        <v>2019</v>
      </c>
      <c r="B16" s="21"/>
      <c r="C16" s="333">
        <v>64</v>
      </c>
      <c r="D16" s="298">
        <v>60449.03038171283</v>
      </c>
      <c r="E16" s="53">
        <v>70270.14099130238</v>
      </c>
      <c r="F16" s="52">
        <v>130719.17137301521</v>
      </c>
      <c r="G16" s="298">
        <v>34203.35988609791</v>
      </c>
      <c r="H16" s="53">
        <v>16531.220175736493</v>
      </c>
      <c r="I16" s="52">
        <v>50734.58006183441</v>
      </c>
      <c r="J16" s="229">
        <v>181453.75143484963</v>
      </c>
      <c r="K16" s="302" t="e">
        <v>#REF!</v>
      </c>
      <c r="L16" s="275">
        <v>-21659.34461346551</v>
      </c>
      <c r="M16" s="53"/>
      <c r="N16" s="4"/>
      <c r="O16" s="172">
        <f t="shared" si="0"/>
        <v>-12940.441681228811</v>
      </c>
      <c r="P16" s="53">
        <f t="shared" si="1"/>
        <v>-19303.12541171146</v>
      </c>
      <c r="Q16" s="54">
        <f t="shared" si="2"/>
        <v>-32243.56709294027</v>
      </c>
    </row>
    <row r="17" spans="1:17" ht="15.75">
      <c r="A17" s="20">
        <v>2020</v>
      </c>
      <c r="B17" s="21"/>
      <c r="C17" s="333">
        <v>65</v>
      </c>
      <c r="D17" s="298">
        <v>62429.28713993246</v>
      </c>
      <c r="E17" s="53">
        <v>72635.34567368495</v>
      </c>
      <c r="F17" s="52">
        <v>135064.6328136174</v>
      </c>
      <c r="G17" s="298">
        <v>35325.06869435487</v>
      </c>
      <c r="H17" s="53">
        <v>3086.809093295462</v>
      </c>
      <c r="I17" s="52">
        <v>38411.87778765033</v>
      </c>
      <c r="J17" s="229">
        <v>173476.51060126774</v>
      </c>
      <c r="K17" s="302" t="e">
        <v>#REF!</v>
      </c>
      <c r="L17" s="275">
        <v>-13946.94843039383</v>
      </c>
      <c r="M17" s="53"/>
      <c r="N17" s="4"/>
      <c r="O17" s="172">
        <f t="shared" si="0"/>
        <v>4345.461440602201</v>
      </c>
      <c r="P17" s="53">
        <f t="shared" si="1"/>
        <v>-12322.702274184077</v>
      </c>
      <c r="Q17" s="54">
        <f t="shared" si="2"/>
        <v>-7977.240833581891</v>
      </c>
    </row>
    <row r="18" spans="1:17" ht="15.75">
      <c r="A18" s="20">
        <v>2021</v>
      </c>
      <c r="B18" s="21"/>
      <c r="C18" s="333">
        <v>66</v>
      </c>
      <c r="D18" s="298">
        <v>64475.206070152475</v>
      </c>
      <c r="E18" s="53">
        <v>75081.14776351313</v>
      </c>
      <c r="F18" s="52">
        <v>139556.3538336656</v>
      </c>
      <c r="G18" s="298">
        <v>22194.370447198795</v>
      </c>
      <c r="H18" s="53">
        <v>3186.2616366255525</v>
      </c>
      <c r="I18" s="52">
        <v>25380.63208382435</v>
      </c>
      <c r="J18" s="385">
        <v>164936.98591748995</v>
      </c>
      <c r="K18" s="302" t="e">
        <v>#REF!</v>
      </c>
      <c r="L18" s="275">
        <v>-14289.643620098512</v>
      </c>
      <c r="M18" s="53"/>
      <c r="N18" s="4"/>
      <c r="O18" s="172">
        <f t="shared" si="0"/>
        <v>4491.721020048193</v>
      </c>
      <c r="P18" s="53">
        <f t="shared" si="1"/>
        <v>-13031.245703825982</v>
      </c>
      <c r="Q18" s="54">
        <f t="shared" si="2"/>
        <v>-8539.524683777796</v>
      </c>
    </row>
    <row r="19" spans="1:17" ht="15.75">
      <c r="A19" s="20">
        <v>2022</v>
      </c>
      <c r="B19" s="21"/>
      <c r="C19" s="333">
        <v>67</v>
      </c>
      <c r="D19" s="298">
        <v>66588.99158012992</v>
      </c>
      <c r="E19" s="53">
        <v>77610.32673052183</v>
      </c>
      <c r="F19" s="52">
        <v>144199.31831065175</v>
      </c>
      <c r="G19" s="298">
        <v>15258.483209943677</v>
      </c>
      <c r="H19" s="53">
        <v>3288.954566400468</v>
      </c>
      <c r="I19" s="52">
        <v>18547.437776344144</v>
      </c>
      <c r="J19" s="229">
        <v>162746.75608699588</v>
      </c>
      <c r="K19" s="302" t="e">
        <v>#REF!</v>
      </c>
      <c r="L19" s="275">
        <v>-7704.631411987066</v>
      </c>
      <c r="M19" s="53"/>
      <c r="N19" s="4"/>
      <c r="O19" s="172">
        <f t="shared" si="0"/>
        <v>4642.964476986148</v>
      </c>
      <c r="P19" s="53">
        <f t="shared" si="1"/>
        <v>-6833.194307480204</v>
      </c>
      <c r="Q19" s="54">
        <f t="shared" si="2"/>
        <v>-2190.229830494063</v>
      </c>
    </row>
    <row r="20" spans="1:17" ht="15.75">
      <c r="A20" s="20">
        <v>2023</v>
      </c>
      <c r="B20" s="21"/>
      <c r="C20" s="333">
        <v>68</v>
      </c>
      <c r="D20" s="298">
        <v>68772.92300520193</v>
      </c>
      <c r="E20" s="53">
        <v>80225.75898656965</v>
      </c>
      <c r="F20" s="52">
        <v>148998.68199177156</v>
      </c>
      <c r="G20" s="298">
        <v>7425.3490573754825</v>
      </c>
      <c r="H20" s="53">
        <v>3394.9947245939875</v>
      </c>
      <c r="I20" s="52">
        <v>10820.34378196947</v>
      </c>
      <c r="J20" s="229">
        <v>159819.02577374104</v>
      </c>
      <c r="K20" s="302" t="e">
        <v>#REF!</v>
      </c>
      <c r="L20" s="275">
        <v>-8339.876214391938</v>
      </c>
      <c r="M20" s="53"/>
      <c r="N20" s="4"/>
      <c r="O20" s="172">
        <f t="shared" si="0"/>
        <v>4799.3636811198085</v>
      </c>
      <c r="P20" s="53">
        <f t="shared" si="1"/>
        <v>-7727.093994374674</v>
      </c>
      <c r="Q20" s="54">
        <f t="shared" si="2"/>
        <v>-2927.7303132548404</v>
      </c>
    </row>
    <row r="21" spans="1:17" ht="15.75">
      <c r="A21" s="20">
        <v>2024</v>
      </c>
      <c r="B21" s="21"/>
      <c r="C21" s="333">
        <v>69</v>
      </c>
      <c r="D21" s="298">
        <v>42129.35718593866</v>
      </c>
      <c r="E21" s="53">
        <v>64930.42130232886</v>
      </c>
      <c r="F21" s="52">
        <v>107059.77848826752</v>
      </c>
      <c r="G21" s="298">
        <v>975.3054862111376</v>
      </c>
      <c r="H21" s="53">
        <v>3504.4925195783685</v>
      </c>
      <c r="I21" s="52">
        <v>4479.798005789506</v>
      </c>
      <c r="J21" s="385">
        <v>111539.57649405702</v>
      </c>
      <c r="K21" s="302" t="e">
        <v>#REF!</v>
      </c>
      <c r="L21" s="275">
        <v>-6723.628642118245</v>
      </c>
      <c r="M21" s="53"/>
      <c r="N21" s="4"/>
      <c r="O21" s="172">
        <f t="shared" si="0"/>
        <v>-41938.90350350404</v>
      </c>
      <c r="P21" s="53">
        <f t="shared" si="1"/>
        <v>-6340.545776179964</v>
      </c>
      <c r="Q21" s="54">
        <f t="shared" si="2"/>
        <v>-48279.44927968402</v>
      </c>
    </row>
    <row r="22" spans="1:17" ht="15.75">
      <c r="A22" s="20">
        <v>2025</v>
      </c>
      <c r="B22" s="21"/>
      <c r="C22" s="333">
        <v>70</v>
      </c>
      <c r="D22" s="298">
        <v>35618.73113549426</v>
      </c>
      <c r="E22" s="53">
        <v>67119.89434554194</v>
      </c>
      <c r="F22" s="52">
        <v>102738.6254810362</v>
      </c>
      <c r="G22" s="298">
        <v>1006.8679576854443</v>
      </c>
      <c r="H22" s="53">
        <v>1202.6960209873514</v>
      </c>
      <c r="I22" s="52">
        <v>2209.5639786727957</v>
      </c>
      <c r="J22" s="229">
        <v>104948.189459709</v>
      </c>
      <c r="K22" s="302" t="e">
        <v>#REF!</v>
      </c>
      <c r="L22" s="275">
        <v>-2414.8660256716757</v>
      </c>
      <c r="M22" s="53"/>
      <c r="N22" s="4"/>
      <c r="O22" s="172">
        <f t="shared" si="0"/>
        <v>-4321.153007231318</v>
      </c>
      <c r="P22" s="53">
        <f t="shared" si="1"/>
        <v>-2270.23402711671</v>
      </c>
      <c r="Q22" s="54">
        <f t="shared" si="2"/>
        <v>-6591.387034348023</v>
      </c>
    </row>
    <row r="23" spans="1:17" ht="15.75">
      <c r="A23" s="20">
        <v>2026</v>
      </c>
      <c r="B23" s="21"/>
      <c r="C23" s="333">
        <v>71</v>
      </c>
      <c r="D23" s="298">
        <v>27817.492299810678</v>
      </c>
      <c r="E23" s="53">
        <v>68884.11009520675</v>
      </c>
      <c r="F23" s="52">
        <v>96701.60239501743</v>
      </c>
      <c r="G23" s="298">
        <v>1039.4636773122793</v>
      </c>
      <c r="H23" s="53">
        <v>176.18139089595698</v>
      </c>
      <c r="I23" s="52">
        <v>1215.6450682082364</v>
      </c>
      <c r="J23" s="229">
        <v>97917.24746322566</v>
      </c>
      <c r="K23" s="302" t="e">
        <v>#REF!</v>
      </c>
      <c r="L23" s="275">
        <v>-1070.8278153953215</v>
      </c>
      <c r="M23" s="53"/>
      <c r="N23" s="4"/>
      <c r="O23" s="172">
        <f t="shared" si="0"/>
        <v>-6037.023086018773</v>
      </c>
      <c r="P23" s="53">
        <f t="shared" si="1"/>
        <v>-993.9189104645593</v>
      </c>
      <c r="Q23" s="54">
        <f t="shared" si="2"/>
        <v>-7030.941996483336</v>
      </c>
    </row>
    <row r="24" spans="1:17" ht="15.75">
      <c r="A24" s="20">
        <v>2027</v>
      </c>
      <c r="B24" s="21"/>
      <c r="C24" s="333">
        <v>72</v>
      </c>
      <c r="D24" s="298">
        <v>25657.098770191024</v>
      </c>
      <c r="E24" s="53">
        <v>66054.36909171376</v>
      </c>
      <c r="F24" s="52">
        <v>91711.46786190478</v>
      </c>
      <c r="G24" s="298">
        <v>364.98857743608437</v>
      </c>
      <c r="H24" s="53">
        <v>181.97664010696388</v>
      </c>
      <c r="I24" s="52">
        <v>546.9652175430483</v>
      </c>
      <c r="J24" s="229">
        <v>92258.43307944783</v>
      </c>
      <c r="K24" s="302" t="e">
        <v>#REF!</v>
      </c>
      <c r="L24" s="275">
        <v>-708.1383041254448</v>
      </c>
      <c r="M24" s="53"/>
      <c r="N24" s="4"/>
      <c r="O24" s="172">
        <f t="shared" si="0"/>
        <v>-4990.13453311265</v>
      </c>
      <c r="P24" s="53">
        <f t="shared" si="1"/>
        <v>-668.679850665188</v>
      </c>
      <c r="Q24" s="54">
        <f t="shared" si="2"/>
        <v>-5658.814383777833</v>
      </c>
    </row>
    <row r="25" spans="1:17" ht="15.75">
      <c r="A25" s="20">
        <v>2028</v>
      </c>
      <c r="B25" s="21"/>
      <c r="C25" s="333">
        <v>73</v>
      </c>
      <c r="D25" s="298">
        <v>24542.34010924466</v>
      </c>
      <c r="E25" s="53">
        <v>63269.18191527318</v>
      </c>
      <c r="F25" s="52">
        <v>87811.52202451784</v>
      </c>
      <c r="G25" s="298">
        <v>94.03962751046218</v>
      </c>
      <c r="H25" s="53">
        <v>187.96486457495575</v>
      </c>
      <c r="I25" s="52">
        <v>282.00449208541795</v>
      </c>
      <c r="J25" s="229">
        <v>88093.52651660325</v>
      </c>
      <c r="K25" s="302" t="e">
        <v>#REF!</v>
      </c>
      <c r="L25" s="275">
        <v>-284.4708747009572</v>
      </c>
      <c r="M25" s="53"/>
      <c r="N25" s="4"/>
      <c r="O25" s="172">
        <f t="shared" si="0"/>
        <v>-3899.945837386942</v>
      </c>
      <c r="P25" s="53">
        <f t="shared" si="1"/>
        <v>-264.96072545763036</v>
      </c>
      <c r="Q25" s="54">
        <f t="shared" si="2"/>
        <v>-4164.906562844582</v>
      </c>
    </row>
    <row r="26" spans="1:17" ht="15.75">
      <c r="A26" s="20">
        <v>2029</v>
      </c>
      <c r="B26" s="21"/>
      <c r="C26" s="333">
        <v>74</v>
      </c>
      <c r="D26" s="298">
        <v>23547.908029312177</v>
      </c>
      <c r="E26" s="53">
        <v>60526.438210721884</v>
      </c>
      <c r="F26" s="52">
        <v>84074.34624003406</v>
      </c>
      <c r="G26" s="298">
        <v>888.9498052296902</v>
      </c>
      <c r="H26" s="53">
        <v>194.1525704744168</v>
      </c>
      <c r="I26" s="52">
        <v>1083.102375704107</v>
      </c>
      <c r="J26" s="229">
        <v>85157.44861573818</v>
      </c>
      <c r="K26" s="302" t="e">
        <v>#REF!</v>
      </c>
      <c r="L26" s="275">
        <v>791.5537929724596</v>
      </c>
      <c r="M26" s="53"/>
      <c r="N26" s="4"/>
      <c r="O26" s="172">
        <f t="shared" si="0"/>
        <v>-3737.1757844837703</v>
      </c>
      <c r="P26" s="53">
        <f t="shared" si="1"/>
        <v>801.0978836186891</v>
      </c>
      <c r="Q26" s="54">
        <f t="shared" si="2"/>
        <v>-2936.0779008650716</v>
      </c>
    </row>
    <row r="27" spans="1:17" ht="15.75">
      <c r="A27" s="20">
        <v>2030</v>
      </c>
      <c r="B27" s="21"/>
      <c r="C27" s="333">
        <v>75</v>
      </c>
      <c r="D27" s="298">
        <v>22568.204892293754</v>
      </c>
      <c r="E27" s="53">
        <v>57818.7462245191</v>
      </c>
      <c r="F27" s="52">
        <v>80386.95111681285</v>
      </c>
      <c r="G27" s="298">
        <v>2899.8077604787522</v>
      </c>
      <c r="H27" s="53">
        <v>200.5464860494446</v>
      </c>
      <c r="I27" s="52">
        <v>3100.3542465281967</v>
      </c>
      <c r="J27" s="229">
        <v>83487.30536334105</v>
      </c>
      <c r="K27" s="302" t="e">
        <v>#REF!</v>
      </c>
      <c r="L27" s="275">
        <v>1977.6975418763686</v>
      </c>
      <c r="M27" s="53"/>
      <c r="N27" s="4"/>
      <c r="O27" s="172">
        <f t="shared" si="0"/>
        <v>-3687.395123221213</v>
      </c>
      <c r="P27" s="53">
        <f t="shared" si="1"/>
        <v>2017.2518708240896</v>
      </c>
      <c r="Q27" s="54">
        <f t="shared" si="2"/>
        <v>-1670.1432523971307</v>
      </c>
    </row>
    <row r="28" spans="1:17" ht="15.75">
      <c r="A28" s="20">
        <v>2031</v>
      </c>
      <c r="B28" s="21"/>
      <c r="C28" s="333">
        <v>76</v>
      </c>
      <c r="D28" s="298">
        <v>21602.50428307909</v>
      </c>
      <c r="E28" s="53">
        <v>55152.089603985136</v>
      </c>
      <c r="F28" s="52">
        <v>76754.59388706423</v>
      </c>
      <c r="G28" s="298">
        <v>6116.5494573549395</v>
      </c>
      <c r="H28" s="53">
        <v>207.15356928400305</v>
      </c>
      <c r="I28" s="52">
        <v>6323.703026638943</v>
      </c>
      <c r="J28" s="229">
        <v>83078.29691370318</v>
      </c>
      <c r="K28" s="302" t="e">
        <v>#REF!</v>
      </c>
      <c r="L28" s="275">
        <v>3108.1793663113567</v>
      </c>
      <c r="M28" s="53"/>
      <c r="N28" s="4"/>
      <c r="O28" s="172">
        <f t="shared" si="0"/>
        <v>-3632.3572297486244</v>
      </c>
      <c r="P28" s="53">
        <f t="shared" si="1"/>
        <v>3223.3487801107462</v>
      </c>
      <c r="Q28" s="54">
        <f t="shared" si="2"/>
        <v>-409.0084496378695</v>
      </c>
    </row>
    <row r="29" spans="1:17" ht="15.75">
      <c r="A29" s="20">
        <v>2032</v>
      </c>
      <c r="B29" s="21"/>
      <c r="C29" s="333">
        <v>77</v>
      </c>
      <c r="D29" s="298">
        <v>17148.193097650117</v>
      </c>
      <c r="E29" s="53">
        <v>52520.99145564808</v>
      </c>
      <c r="F29" s="52">
        <v>69669.1845532982</v>
      </c>
      <c r="G29" s="298">
        <v>13073.68748746847</v>
      </c>
      <c r="H29" s="53">
        <v>213.98101584008856</v>
      </c>
      <c r="I29" s="52">
        <v>13287.66850330856</v>
      </c>
      <c r="J29" s="229">
        <v>82956.85305660675</v>
      </c>
      <c r="K29" s="302" t="e">
        <v>#REF!</v>
      </c>
      <c r="L29" s="275">
        <v>6727.953299729437</v>
      </c>
      <c r="M29" s="53"/>
      <c r="N29" s="4"/>
      <c r="O29" s="172">
        <f t="shared" si="0"/>
        <v>-7085.409333766031</v>
      </c>
      <c r="P29" s="53">
        <f t="shared" si="1"/>
        <v>6963.965476669617</v>
      </c>
      <c r="Q29" s="54">
        <f t="shared" si="2"/>
        <v>-121.44385709642665</v>
      </c>
    </row>
    <row r="30" spans="1:17" ht="15.75">
      <c r="A30" s="20">
        <v>2033</v>
      </c>
      <c r="B30" s="21"/>
      <c r="C30" s="333">
        <v>78</v>
      </c>
      <c r="D30" s="298">
        <v>15382.07871321342</v>
      </c>
      <c r="E30" s="53">
        <v>49921.6507608144</v>
      </c>
      <c r="F30" s="52">
        <v>65303.72947402782</v>
      </c>
      <c r="G30" s="298">
        <v>19346.97240445132</v>
      </c>
      <c r="H30" s="53">
        <v>221.03626727326537</v>
      </c>
      <c r="I30" s="52">
        <v>19568.008671724587</v>
      </c>
      <c r="J30" s="229">
        <v>84871.7381457524</v>
      </c>
      <c r="K30" s="302" t="e">
        <v>#REF!</v>
      </c>
      <c r="L30" s="275">
        <v>5783.2130866974985</v>
      </c>
      <c r="M30" s="53"/>
      <c r="N30" s="4"/>
      <c r="O30" s="172">
        <f t="shared" si="0"/>
        <v>-4365.455079270374</v>
      </c>
      <c r="P30" s="53">
        <f t="shared" si="1"/>
        <v>6280.340168416027</v>
      </c>
      <c r="Q30" s="54">
        <f t="shared" si="2"/>
        <v>1914.8850891456532</v>
      </c>
    </row>
    <row r="31" spans="1:17" ht="15.75">
      <c r="A31" s="20">
        <v>2034</v>
      </c>
      <c r="B31" s="21"/>
      <c r="C31" s="333">
        <v>79</v>
      </c>
      <c r="D31" s="298">
        <v>14675.683899490807</v>
      </c>
      <c r="E31" s="53">
        <v>47351.85033423509</v>
      </c>
      <c r="F31" s="52">
        <v>62027.53423372589</v>
      </c>
      <c r="G31" s="298">
        <v>25976.88544991762</v>
      </c>
      <c r="H31" s="53">
        <v>228.32701953536153</v>
      </c>
      <c r="I31" s="52">
        <v>26205.21246945298</v>
      </c>
      <c r="J31" s="385">
        <v>88232.74670317887</v>
      </c>
      <c r="K31" s="302" t="e">
        <v>#REF!</v>
      </c>
      <c r="L31" s="275">
        <v>5904.598774308935</v>
      </c>
      <c r="M31" s="53"/>
      <c r="N31" s="4"/>
      <c r="O31" s="172">
        <f t="shared" si="0"/>
        <v>-3276.1952403019313</v>
      </c>
      <c r="P31" s="53">
        <f t="shared" si="1"/>
        <v>6637.203797728394</v>
      </c>
      <c r="Q31" s="54">
        <f t="shared" si="2"/>
        <v>3361.0085574264667</v>
      </c>
    </row>
    <row r="32" spans="1:17" ht="15.75">
      <c r="A32" s="20">
        <v>2035</v>
      </c>
      <c r="B32" s="21"/>
      <c r="C32" s="333">
        <v>80</v>
      </c>
      <c r="D32" s="298">
        <v>13975.47776909548</v>
      </c>
      <c r="E32" s="53">
        <v>43310.862364578694</v>
      </c>
      <c r="F32" s="52">
        <v>57286.34013367417</v>
      </c>
      <c r="G32" s="298">
        <v>34812.8583643613</v>
      </c>
      <c r="H32" s="53">
        <v>235.8612317744667</v>
      </c>
      <c r="I32" s="52">
        <v>35048.71959613577</v>
      </c>
      <c r="J32" s="229">
        <v>92335.05972980995</v>
      </c>
      <c r="K32" s="302" t="e">
        <v>#REF!</v>
      </c>
      <c r="L32" s="275">
        <v>7862.042819901617</v>
      </c>
      <c r="M32" s="53"/>
      <c r="N32" s="4"/>
      <c r="O32" s="172">
        <f t="shared" si="0"/>
        <v>-4741.194100051718</v>
      </c>
      <c r="P32" s="53">
        <f t="shared" si="1"/>
        <v>8843.50712668279</v>
      </c>
      <c r="Q32" s="54">
        <f t="shared" si="2"/>
        <v>4102.313026631076</v>
      </c>
    </row>
    <row r="33" spans="1:17" ht="15.75">
      <c r="A33" s="20">
        <v>2036</v>
      </c>
      <c r="B33" s="21"/>
      <c r="C33" s="333">
        <v>81</v>
      </c>
      <c r="D33" s="298">
        <v>13280.885711689732</v>
      </c>
      <c r="E33" s="53">
        <v>40877.94796227443</v>
      </c>
      <c r="F33" s="52">
        <v>54158.83367396417</v>
      </c>
      <c r="G33" s="298">
        <v>47541.0670334556</v>
      </c>
      <c r="H33" s="53">
        <v>243.64713544273422</v>
      </c>
      <c r="I33" s="52">
        <v>47784.71416889833</v>
      </c>
      <c r="J33" s="229">
        <v>101943.54784286249</v>
      </c>
      <c r="K33" s="302" t="e">
        <v>#REF!</v>
      </c>
      <c r="L33" s="275">
        <v>11422.935683555494</v>
      </c>
      <c r="M33" s="53"/>
      <c r="N33" s="4"/>
      <c r="O33" s="172">
        <f t="shared" si="0"/>
        <v>-3127.5064597100063</v>
      </c>
      <c r="P33" s="53">
        <f t="shared" si="1"/>
        <v>12735.99457276256</v>
      </c>
      <c r="Q33" s="54">
        <f t="shared" si="2"/>
        <v>9608.488113052546</v>
      </c>
    </row>
    <row r="34" spans="1:17" ht="15.75">
      <c r="A34" s="20">
        <v>2037</v>
      </c>
      <c r="B34" s="21"/>
      <c r="C34" s="333">
        <v>82</v>
      </c>
      <c r="D34" s="298">
        <v>12591.74620743064</v>
      </c>
      <c r="E34" s="53">
        <v>38467.84919069913</v>
      </c>
      <c r="F34" s="52">
        <v>51059.59539812977</v>
      </c>
      <c r="G34" s="298">
        <v>61732.14868244752</v>
      </c>
      <c r="H34" s="53">
        <v>251.69324372286354</v>
      </c>
      <c r="I34" s="52">
        <v>61983.84192617038</v>
      </c>
      <c r="J34" s="229">
        <v>113043.43732430015</v>
      </c>
      <c r="K34" s="302" t="e">
        <v>#REF!</v>
      </c>
      <c r="L34" s="275">
        <v>12408.507114455824</v>
      </c>
      <c r="M34" s="53"/>
      <c r="N34" s="4"/>
      <c r="O34" s="172">
        <f t="shared" si="0"/>
        <v>-3099.2382758343956</v>
      </c>
      <c r="P34" s="53">
        <f t="shared" si="1"/>
        <v>14199.12775727205</v>
      </c>
      <c r="Q34" s="54">
        <f t="shared" si="2"/>
        <v>11099.889481437654</v>
      </c>
    </row>
    <row r="35" spans="1:17" ht="15.75">
      <c r="A35" s="20">
        <v>2038</v>
      </c>
      <c r="B35" s="21"/>
      <c r="C35" s="333">
        <v>83</v>
      </c>
      <c r="D35" s="298">
        <v>11908.286462560462</v>
      </c>
      <c r="E35" s="53">
        <v>36081.17051878606</v>
      </c>
      <c r="F35" s="52">
        <v>47989.45698134652</v>
      </c>
      <c r="G35" s="298">
        <v>77406.19179842054</v>
      </c>
      <c r="H35" s="53">
        <v>260.0083612845285</v>
      </c>
      <c r="I35" s="52">
        <v>77666.20015970507</v>
      </c>
      <c r="J35" s="229">
        <v>125655.65714105159</v>
      </c>
      <c r="K35" s="302" t="e">
        <v>#REF!</v>
      </c>
      <c r="L35" s="275">
        <v>13359.309483976263</v>
      </c>
      <c r="M35" s="53"/>
      <c r="N35" s="4"/>
      <c r="O35" s="172">
        <f t="shared" si="0"/>
        <v>-3070.138416783251</v>
      </c>
      <c r="P35" s="53">
        <f t="shared" si="1"/>
        <v>15682.358233534687</v>
      </c>
      <c r="Q35" s="54">
        <f t="shared" si="2"/>
        <v>12612.219816751443</v>
      </c>
    </row>
    <row r="36" spans="1:17" ht="15.75">
      <c r="A36" s="20">
        <v>2039</v>
      </c>
      <c r="B36" s="21"/>
      <c r="C36" s="333">
        <v>84</v>
      </c>
      <c r="D36" s="298">
        <v>11228.713575618</v>
      </c>
      <c r="E36" s="53">
        <v>33716.82651824722</v>
      </c>
      <c r="F36" s="52">
        <v>44945.54009386522</v>
      </c>
      <c r="G36" s="298">
        <v>94588.81950302776</v>
      </c>
      <c r="H36" s="53">
        <v>268.60159438241766</v>
      </c>
      <c r="I36" s="52">
        <v>94857.42109741017</v>
      </c>
      <c r="J36" s="229">
        <v>139802.9611912754</v>
      </c>
      <c r="K36" s="302" t="e">
        <v>#REF!</v>
      </c>
      <c r="L36" s="275">
        <v>14280.124114069331</v>
      </c>
      <c r="M36" s="53"/>
      <c r="O36" s="172">
        <f t="shared" si="0"/>
        <v>-3043.916887481304</v>
      </c>
      <c r="P36" s="53">
        <f t="shared" si="1"/>
        <v>17191.220937705104</v>
      </c>
      <c r="Q36" s="54">
        <f t="shared" si="2"/>
        <v>14147.3040502238</v>
      </c>
    </row>
    <row r="37" spans="1:17" ht="15.75">
      <c r="A37" s="20">
        <v>2040</v>
      </c>
      <c r="B37" s="21"/>
      <c r="C37" s="333">
        <v>85</v>
      </c>
      <c r="D37" s="298">
        <v>10553.238264183257</v>
      </c>
      <c r="E37" s="53">
        <v>31373.054437878414</v>
      </c>
      <c r="F37" s="52">
        <v>41926.29270206167</v>
      </c>
      <c r="G37" s="298">
        <v>113300.39622798526</v>
      </c>
      <c r="H37" s="53">
        <v>277.48236130796914</v>
      </c>
      <c r="I37" s="52">
        <v>113577.87858929322</v>
      </c>
      <c r="J37" s="229">
        <v>155504.1712913549</v>
      </c>
      <c r="K37" s="302" t="e">
        <v>#REF!</v>
      </c>
      <c r="L37" s="275">
        <v>15164.73145355394</v>
      </c>
      <c r="M37" s="53"/>
      <c r="O37" s="172">
        <f t="shared" si="0"/>
        <v>-3019.2473918035466</v>
      </c>
      <c r="P37" s="53">
        <f t="shared" si="1"/>
        <v>18720.457491883048</v>
      </c>
      <c r="Q37" s="54">
        <f t="shared" si="2"/>
        <v>15701.210100079508</v>
      </c>
    </row>
    <row r="38" spans="1:17" ht="15.75">
      <c r="A38" s="20">
        <v>2041</v>
      </c>
      <c r="B38" s="21"/>
      <c r="C38" s="333">
        <v>86</v>
      </c>
      <c r="D38" s="298">
        <v>9881.578187676952</v>
      </c>
      <c r="E38" s="53">
        <v>29048.36402882145</v>
      </c>
      <c r="F38" s="52">
        <v>38929.9422164984</v>
      </c>
      <c r="G38" s="298">
        <v>133559.8941585741</v>
      </c>
      <c r="H38" s="53">
        <v>286.6604032073152</v>
      </c>
      <c r="I38" s="52">
        <v>133846.55456178144</v>
      </c>
      <c r="J38" s="229">
        <v>172776.49677827983</v>
      </c>
      <c r="K38" s="302" t="e">
        <v>#REF!</v>
      </c>
      <c r="L38" s="275">
        <v>16010.975595798154</v>
      </c>
      <c r="M38" s="53"/>
      <c r="O38" s="172">
        <f t="shared" si="0"/>
        <v>-2996.350485563271</v>
      </c>
      <c r="P38" s="53">
        <f t="shared" si="1"/>
        <v>20268.675972488214</v>
      </c>
      <c r="Q38" s="54">
        <f t="shared" si="2"/>
        <v>17272.325486924936</v>
      </c>
    </row>
    <row r="39" spans="1:17" ht="15.75">
      <c r="A39" s="20">
        <v>2042</v>
      </c>
      <c r="B39" s="21"/>
      <c r="C39" s="333">
        <v>87</v>
      </c>
      <c r="D39" s="298">
        <v>9140.766922320607</v>
      </c>
      <c r="E39" s="53">
        <v>26311.55381548267</v>
      </c>
      <c r="F39" s="52">
        <v>35452.32073780328</v>
      </c>
      <c r="G39" s="298">
        <v>155399.13054572043</v>
      </c>
      <c r="H39" s="53">
        <v>291.08830308162015</v>
      </c>
      <c r="I39" s="52">
        <v>155690.21884880206</v>
      </c>
      <c r="J39" s="229">
        <v>191142.53958660533</v>
      </c>
      <c r="K39" s="302" t="e">
        <v>#REF!</v>
      </c>
      <c r="L39" s="275">
        <v>16830.990155671352</v>
      </c>
      <c r="M39" s="7"/>
      <c r="O39" s="172">
        <f>F39-F38</f>
        <v>-3477.621478695117</v>
      </c>
      <c r="P39" s="53">
        <f aca="true" t="shared" si="3" ref="P39:Q43">I39-I38</f>
        <v>21843.664287020627</v>
      </c>
      <c r="Q39" s="54">
        <f t="shared" si="3"/>
        <v>18366.042808325496</v>
      </c>
    </row>
    <row r="40" spans="1:17" ht="15.75">
      <c r="A40" s="20">
        <v>2043</v>
      </c>
      <c r="B40" s="21"/>
      <c r="C40" s="333">
        <v>88</v>
      </c>
      <c r="D40" s="298">
        <v>8416.012843730758</v>
      </c>
      <c r="E40" s="53">
        <v>23677.040207398233</v>
      </c>
      <c r="F40" s="52">
        <v>32093.05305112899</v>
      </c>
      <c r="G40" s="298">
        <v>178808.38689658334</v>
      </c>
      <c r="H40" s="53">
        <v>296.6822492012115</v>
      </c>
      <c r="I40" s="52">
        <v>179105.06914578454</v>
      </c>
      <c r="J40" s="229">
        <v>211198.12219691352</v>
      </c>
      <c r="K40" s="302" t="e">
        <v>#REF!</v>
      </c>
      <c r="L40" s="275">
        <v>17582.046248854094</v>
      </c>
      <c r="M40" s="7"/>
      <c r="O40" s="172">
        <f>F40-F39</f>
        <v>-3359.2676866742913</v>
      </c>
      <c r="P40" s="53">
        <f t="shared" si="3"/>
        <v>23414.850296982477</v>
      </c>
      <c r="Q40" s="54">
        <f t="shared" si="3"/>
        <v>20055.582610308193</v>
      </c>
    </row>
    <row r="41" spans="1:17" ht="15.75">
      <c r="A41" s="20">
        <v>2044</v>
      </c>
      <c r="B41" s="21"/>
      <c r="C41" s="333">
        <v>89</v>
      </c>
      <c r="D41" s="298">
        <v>7705.601219932678</v>
      </c>
      <c r="E41" s="53">
        <v>21137.972835746103</v>
      </c>
      <c r="F41" s="52">
        <v>28843.57405567878</v>
      </c>
      <c r="G41" s="298">
        <v>203827.11638270816</v>
      </c>
      <c r="H41" s="53">
        <v>303.4484683002876</v>
      </c>
      <c r="I41" s="52">
        <v>204130.56485100844</v>
      </c>
      <c r="J41" s="229">
        <v>232974.1389066872</v>
      </c>
      <c r="K41" s="302" t="e">
        <v>#REF!</v>
      </c>
      <c r="L41" s="275">
        <v>18313.679989762342</v>
      </c>
      <c r="M41" s="7"/>
      <c r="O41" s="172">
        <f>F41-F40</f>
        <v>-3249.478995450212</v>
      </c>
      <c r="P41" s="53">
        <f t="shared" si="3"/>
        <v>25025.495705223904</v>
      </c>
      <c r="Q41" s="54">
        <f t="shared" si="3"/>
        <v>21776.016709773685</v>
      </c>
    </row>
    <row r="42" spans="1:17" ht="15.75">
      <c r="A42" s="20">
        <v>2045</v>
      </c>
      <c r="B42" s="21"/>
      <c r="C42" s="333">
        <v>90</v>
      </c>
      <c r="D42" s="298">
        <v>7008.705249965483</v>
      </c>
      <c r="E42" s="53">
        <v>18687.127888517418</v>
      </c>
      <c r="F42" s="52">
        <v>25695.8331384829</v>
      </c>
      <c r="G42" s="298">
        <v>230404.91727868776</v>
      </c>
      <c r="H42" s="53">
        <v>311.393420615579</v>
      </c>
      <c r="I42" s="52">
        <v>230716.31069930334</v>
      </c>
      <c r="J42" s="229">
        <v>256412.14383778625</v>
      </c>
      <c r="K42" s="302" t="e">
        <v>#REF!</v>
      </c>
      <c r="L42" s="275">
        <v>18934.556994255152</v>
      </c>
      <c r="M42" s="7"/>
      <c r="O42" s="172">
        <f>F42-F41</f>
        <v>-3147.740917195879</v>
      </c>
      <c r="P42" s="53">
        <f t="shared" si="3"/>
        <v>26585.7458482949</v>
      </c>
      <c r="Q42" s="54">
        <f t="shared" si="3"/>
        <v>23438.004931099043</v>
      </c>
    </row>
    <row r="43" spans="1:17" ht="16.5" thickBot="1">
      <c r="A43" s="28">
        <v>2046</v>
      </c>
      <c r="B43" s="55"/>
      <c r="C43" s="334">
        <v>91</v>
      </c>
      <c r="D43" s="299">
        <v>6324.145376491216</v>
      </c>
      <c r="E43" s="56">
        <v>16320.402799277643</v>
      </c>
      <c r="F43" s="300">
        <v>22644.548175768858</v>
      </c>
      <c r="G43" s="299">
        <v>258566.88984110838</v>
      </c>
      <c r="H43" s="56">
        <v>320.5238086426938</v>
      </c>
      <c r="I43" s="300">
        <v>258887.41364975108</v>
      </c>
      <c r="J43" s="230">
        <v>281531.9618255199</v>
      </c>
      <c r="K43" s="303" t="e">
        <v>#REF!</v>
      </c>
      <c r="L43" s="276">
        <v>19522.069315975772</v>
      </c>
      <c r="M43" s="7"/>
      <c r="O43" s="173">
        <f>F43-F42</f>
        <v>-3051.284962714042</v>
      </c>
      <c r="P43" s="56">
        <f t="shared" si="3"/>
        <v>28171.102950447734</v>
      </c>
      <c r="Q43" s="57">
        <f t="shared" si="3"/>
        <v>25119.817987733666</v>
      </c>
    </row>
    <row r="44" spans="4:16" ht="15">
      <c r="D44" s="7"/>
      <c r="E44" s="7"/>
      <c r="F44" s="7"/>
      <c r="G44" s="7"/>
      <c r="H44" s="7"/>
      <c r="I44" s="7"/>
      <c r="J44" s="7"/>
      <c r="K44" s="7"/>
      <c r="L44" s="7"/>
      <c r="M44" s="7"/>
      <c r="O44" s="7"/>
      <c r="P44" s="7"/>
    </row>
    <row r="45" spans="4:13" ht="15.75">
      <c r="D45" s="7"/>
      <c r="E45" s="7"/>
      <c r="F45" s="7"/>
      <c r="G45" s="7"/>
      <c r="H45" s="7"/>
      <c r="I45" s="7"/>
      <c r="J45" s="33">
        <v>82956.85305660675</v>
      </c>
      <c r="K45" s="7"/>
      <c r="L45" s="7"/>
      <c r="M45" s="7"/>
    </row>
    <row r="46" spans="4:13" ht="15">
      <c r="D46" s="7"/>
      <c r="E46" s="7"/>
      <c r="F46" s="7"/>
      <c r="G46" s="7"/>
      <c r="H46" s="7"/>
      <c r="I46" s="7"/>
      <c r="J46" s="7" t="s">
        <v>325</v>
      </c>
      <c r="K46" s="7"/>
      <c r="L46" s="7"/>
      <c r="M46" s="7"/>
    </row>
    <row r="47" spans="4:13" ht="15"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4:13" ht="15"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4:13" ht="15"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4:13" ht="15"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4:13" ht="15"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4:13" ht="15"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4:13" ht="15"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4:13" ht="15"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4:13" ht="15"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4:13" ht="15"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4:13" ht="15"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4:13" ht="15"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4:13" ht="15"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4:13" ht="15"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4:13" ht="15"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4:13" ht="15"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4:13" ht="15"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4:13" ht="15"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4:13" ht="15"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4:13" ht="15"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4:13" ht="15"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4:13" ht="15"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4:13" ht="15"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4:13" ht="15"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4:13" ht="15"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4:13" ht="15"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4:13" ht="15"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4:13" ht="15"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4:13" ht="15"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4:13" ht="15"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4:13" ht="15"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4:13" ht="15"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4:13" ht="15"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4:13" ht="15"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4:13" ht="15"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4:13" ht="15"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4:13" ht="15"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4:13" ht="15"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4:13" ht="15"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4:13" ht="15"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4:13" ht="15"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4:13" ht="15"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4:13" ht="15"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4:13" ht="15"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4:13" ht="15"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4:13" ht="15"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4:13" ht="15"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4:13" ht="15"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4:13" ht="15"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4:13" ht="15"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4:13" ht="15"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4:13" ht="15"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4:13" ht="15"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4:13" ht="15"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4:13" ht="15"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4:13" ht="15"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4:13" ht="15"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4:13" ht="15"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4:13" ht="15"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4:13" ht="15"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4:13" ht="15"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4:13" ht="15"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4:13" ht="15"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4:13" ht="15"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4:13" ht="15"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4:13" ht="15"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4:13" ht="15"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4:13" ht="15"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4:13" ht="15"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4:13" ht="15"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4:13" ht="15"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4:13" ht="15"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4:13" ht="15"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4:13" ht="15"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4:13" ht="15"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4:13" ht="15"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4:13" ht="15"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4:13" ht="15"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4:13" ht="15"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4:13" ht="15"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4:13" ht="15"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4:13" ht="15"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4:13" ht="15"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4:13" ht="15"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4:13" ht="15"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4:13" ht="15"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4:13" ht="15"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4:13" ht="15"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4:13" ht="15"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4:13" ht="15"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4:13" ht="15"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4:13" ht="15"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4:13" ht="15"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4:13" ht="15"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4:13" ht="15"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4:13" ht="15"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4:13" ht="15"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4:13" ht="15"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4:13" ht="15"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4:13" ht="15"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4:13" ht="15"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4:13" ht="15"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4:13" ht="15"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4:13" ht="15"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4:13" ht="15"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4:13" ht="15"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4:13" ht="15"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4:13" ht="15"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4:13" ht="15"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4:13" ht="15"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4:13" ht="15"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4:13" ht="15"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4:13" ht="15"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4:13" ht="15"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4:13" ht="15"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4:13" ht="15"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4:13" ht="15"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4:13" ht="15"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4:13" ht="15"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4:13" ht="15"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4:13" ht="15"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4:13" ht="15"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4:13" ht="15"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4:13" ht="15"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4:13" ht="15"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4:13" ht="15"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4:13" ht="15"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4:13" ht="15"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4:13" ht="15"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4:13" ht="15"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4:13" ht="15"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4:13" ht="15"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4:13" ht="15"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4:13" ht="15"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4:13" ht="15"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4:13" ht="15"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4:13" ht="15"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4:13" ht="15"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4:13" ht="15"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4:13" ht="15"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4:13" ht="15"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4:13" ht="15"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4:13" ht="15"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4:13" ht="15"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4:13" ht="15"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4:13" ht="15"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4:13" ht="15"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4:13" ht="15"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4:13" ht="15"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4:13" ht="15"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4:13" ht="15"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4:13" ht="15"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4:13" ht="15"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4:13" ht="15"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4:13" ht="15"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4:13" ht="15"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4:13" ht="15"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4:13" ht="15"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4:13" ht="15"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4:13" ht="15"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4:13" ht="15"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4:13" ht="15"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4:13" ht="15"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4:13" ht="15"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4:13" ht="15"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4:13" ht="15"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4:13" ht="15"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4:13" ht="15"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4:13" ht="15"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4:13" ht="15"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4:13" ht="15"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4:13" ht="15"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4:13" ht="15"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4:13" ht="15"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4:13" ht="15"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4:13" ht="15"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4:13" ht="15"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4:13" ht="15"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4:13" ht="15"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4:13" ht="15"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4:13" ht="15"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4:13" ht="15"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4:13" ht="15"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4:13" ht="15"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4:13" ht="15"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4:13" ht="15"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4:13" ht="15"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4:13" ht="15"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4:13" ht="15"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4:13" ht="15"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4:13" ht="15"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4:13" ht="15"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4:13" ht="15"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4:13" ht="15"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4:13" ht="15"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4:13" ht="15"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4:13" ht="15"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4:13" ht="15"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4:13" ht="15"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4:13" ht="15"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4:13" ht="15"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4:13" ht="15"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4:13" ht="15"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4:13" ht="15"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4:13" ht="15"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4:13" ht="15"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4:13" ht="15"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4:13" ht="15"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4:13" ht="15"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4:13" ht="15"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4:13" ht="15"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4:13" ht="15"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4:13" ht="15"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4:13" ht="15"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4:13" ht="15"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4:13" ht="15"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4:13" ht="15"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4:13" ht="15"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4:13" ht="15"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4:13" ht="15"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4:13" ht="15"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4:13" ht="15"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4:13" ht="15"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4:13" ht="15"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4:13" ht="15"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4:13" ht="15"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4:13" ht="15"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4:13" ht="15"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4:13" ht="15"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4:13" ht="15"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4:13" ht="15"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4:13" ht="15"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4:13" ht="15"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4:13" ht="15"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4:13" ht="15"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4:13" ht="15"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4:13" ht="15"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4:13" ht="15"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4:13" ht="15"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4:13" ht="15"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4:13" ht="15"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4:13" ht="15"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4:13" ht="15"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4:13" ht="15"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4:13" ht="15"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4:13" ht="15"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4:13" ht="15"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4:13" ht="15"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4:13" ht="15"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4:13" ht="15"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4:13" ht="15"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4:13" ht="15"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4:13" ht="15"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4:13" ht="15"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4:13" ht="15"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4:13" ht="15"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4:13" ht="15"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4:13" ht="15"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4:13" ht="15"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4:13" ht="15"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4:13" ht="15"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4:13" ht="15"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4:13" ht="15"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4:13" ht="15"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4:13" ht="15"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4:13" ht="15"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4:13" ht="15"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4:13" ht="15"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4:13" ht="15"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4:13" ht="15"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4:13" ht="15"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4:13" ht="15"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4:13" ht="15"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4:13" ht="15"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4:13" ht="15"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4:13" ht="15"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4:13" ht="15"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4:13" ht="15"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4:13" ht="15"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4:13" ht="15"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4:13" ht="15"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4:13" ht="15"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4:13" ht="15"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4:13" ht="15"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4:13" ht="15"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4:13" ht="15"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4:13" ht="15"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4:13" ht="15"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4:13" ht="15"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4:13" ht="15"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4:13" ht="15"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4:13" ht="15"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4:13" ht="15"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4:13" ht="15"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4:13" ht="15"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4:13" ht="15"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4:13" ht="15"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4:13" ht="15"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4:13" ht="15"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4:13" ht="15"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4:13" ht="15"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4:13" ht="15"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4:13" ht="15"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4:13" ht="15"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4:13" ht="15"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4:13" ht="15"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4:13" ht="15"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4:13" ht="15"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4:13" ht="15"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4:13" ht="15"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4:13" ht="15"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4:13" ht="15"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4:13" ht="15"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4:13" ht="15"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4:13" ht="15"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4:13" ht="15"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4:13" ht="15"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4:13" ht="15"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4:13" ht="15"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4:13" ht="15"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4:13" ht="15"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4:13" ht="15"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4:13" ht="15"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4:13" ht="15"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4:13" ht="15"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4:13" ht="15"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4:13" ht="15"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4:13" ht="15"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4:13" ht="15"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4:13" ht="15"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4:13" ht="15"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4:13" ht="15"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4:13" ht="15"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4:13" ht="15"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4:13" ht="15"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4:13" ht="15"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4:13" ht="15"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4:13" ht="15"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4:13" ht="15"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4:13" ht="15"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4:13" ht="15"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4:13" ht="15"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4:13" ht="15"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4:13" ht="15"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4:13" ht="15"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4:13" ht="15"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4:13" ht="15"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4:13" ht="15"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4:13" ht="15"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4:13" ht="15"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4:13" ht="15"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4:13" ht="15"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4:13" ht="15"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4:13" ht="15"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4:13" ht="15"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4:13" ht="15"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4:13" ht="15"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4:13" ht="15"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4:13" ht="15"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4:13" ht="15"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4:13" ht="15"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4:13" ht="15"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4:13" ht="15"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4:13" ht="15"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4:13" ht="15"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4:13" ht="15"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4:13" ht="15"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4:13" ht="15"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4:13" ht="15"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4:13" ht="15"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4:13" ht="15"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4:13" ht="15"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4:13" ht="15"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4:13" ht="15"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4:13" ht="15"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4:13" ht="15"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4:13" ht="15"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4:13" ht="15"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4:13" ht="15"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4:13" ht="15"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4:13" ht="15"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4:13" ht="15"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4:13" ht="15"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4:13" ht="15"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4:13" ht="15"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4:13" ht="15"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4:13" ht="15"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4:13" ht="15"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4:13" ht="15"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4:13" ht="15"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4:13" ht="15"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4:13" ht="15"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4:13" ht="15"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4:13" ht="15"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4:13" ht="15"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4:13" ht="15"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4:13" ht="15"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4:13" ht="15"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4:13" ht="15"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4:13" ht="15"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4:13" ht="15"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4:13" ht="15"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4:13" ht="15"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4:13" ht="15"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4:13" ht="15"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4:13" ht="15"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4:13" ht="15"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4:13" ht="15"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4:13" ht="15"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4:13" ht="15"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4:13" ht="15"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4:13" ht="15"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4:13" ht="15"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4:13" ht="15"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4:13" ht="15"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4:13" ht="15"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4:13" ht="15"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4:13" ht="15"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4:13" ht="15"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4:13" ht="15"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4:13" ht="15"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4:13" ht="15"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4:13" ht="15"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4:13" ht="15"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4:13" ht="15"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4:13" ht="15"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4:13" ht="15"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4:13" ht="15"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4:13" ht="15"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4:13" ht="15"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4:13" ht="15"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4:13" ht="15"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4:13" ht="15"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4:13" ht="15"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4:13" ht="15"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4:13" ht="15"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4:13" ht="15"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4:13" ht="15"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4:13" ht="15"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4:13" ht="15"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4:13" ht="15"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4:13" ht="15"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4:13" ht="15"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4:13" ht="15"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4:13" ht="15"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4:13" ht="15"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4:13" ht="15"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4:13" ht="15"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4:13" ht="15"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4:13" ht="15"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4:13" ht="15"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4:13" ht="15"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4:13" ht="15"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4:13" ht="15"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4:13" ht="15"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4:13" ht="15"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4:13" ht="15"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4:13" ht="15"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4:13" ht="15"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4:13" ht="15"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4:13" ht="15"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4:13" ht="15"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4:13" ht="15"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4:13" ht="15"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4:13" ht="15"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4:13" ht="15"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4:13" ht="15"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4:13" ht="15"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4:13" ht="15"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4:13" ht="15"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4:13" ht="15"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4:13" ht="15"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4:13" ht="15"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4:13" ht="15"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4:13" ht="15"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4:13" ht="15"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4:13" ht="15"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4:13" ht="15"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4:13" ht="15"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4:13" ht="15"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4:13" ht="15"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4:13" ht="15"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4:13" ht="15"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4:13" ht="15"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4:13" ht="15"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4:13" ht="15"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4:13" ht="15"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4:13" ht="15"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4:13" ht="15"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4:13" ht="15"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4:13" ht="15"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4:13" ht="15"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4:13" ht="15"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4:13" ht="15"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4:13" ht="15"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4:13" ht="15"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4:13" ht="15"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4:13" ht="15"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4:13" ht="15"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4:13" ht="15"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4:13" ht="15"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4:13" ht="15"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4:13" ht="15"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4:13" ht="15"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4:13" ht="15"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4:13" ht="15"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4:13" ht="15"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4:13" ht="15"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4:13" ht="15">
      <c r="D555" s="7"/>
      <c r="E555" s="7"/>
      <c r="F555" s="7"/>
      <c r="G555" s="7"/>
      <c r="H555" s="7"/>
      <c r="I555" s="7"/>
      <c r="J555" s="7"/>
      <c r="K555" s="7"/>
      <c r="L555" s="7"/>
      <c r="M555" s="7"/>
    </row>
  </sheetData>
  <sheetProtection password="DF35" sheet="1" objects="1" scenarios="1"/>
  <mergeCells count="1">
    <mergeCell ref="A2:J2"/>
  </mergeCells>
  <printOptions gridLines="1" horizontalCentered="1" verticalCentered="1"/>
  <pageMargins left="1" right="0.88" top="1" bottom="1" header="0.5" footer="0.5"/>
  <pageSetup fitToHeight="1" fitToWidth="1" horizontalDpi="300" verticalDpi="300" orientation="portrait" scale="67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86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2.75"/>
  <cols>
    <col min="1" max="1" width="21.00390625" style="5" bestFit="1" customWidth="1"/>
    <col min="2" max="2" width="7.8515625" style="5" bestFit="1" customWidth="1"/>
    <col min="3" max="3" width="7.00390625" style="5" bestFit="1" customWidth="1"/>
    <col min="4" max="4" width="12.140625" style="1" bestFit="1" customWidth="1"/>
    <col min="5" max="5" width="11.28125" style="1" bestFit="1" customWidth="1"/>
    <col min="6" max="6" width="10.421875" style="1" bestFit="1" customWidth="1"/>
    <col min="7" max="7" width="15.8515625" style="1" bestFit="1" customWidth="1"/>
    <col min="8" max="8" width="10.28125" style="1" bestFit="1" customWidth="1"/>
    <col min="9" max="9" width="20.140625" style="1" customWidth="1"/>
    <col min="10" max="10" width="10.28125" style="1" bestFit="1" customWidth="1"/>
    <col min="11" max="11" width="13.7109375" style="1" bestFit="1" customWidth="1"/>
    <col min="12" max="12" width="11.57421875" style="1" bestFit="1" customWidth="1"/>
    <col min="13" max="13" width="10.28125" style="1" bestFit="1" customWidth="1"/>
    <col min="14" max="14" width="10.8515625" style="1" bestFit="1" customWidth="1"/>
    <col min="15" max="15" width="11.140625" style="1" bestFit="1" customWidth="1"/>
    <col min="16" max="16384" width="9.140625" style="1" customWidth="1"/>
  </cols>
  <sheetData>
    <row r="1" spans="1:15" ht="16.5" thickBot="1">
      <c r="A1" s="423"/>
      <c r="B1" s="424"/>
      <c r="C1" s="424"/>
      <c r="D1" s="424"/>
      <c r="E1" s="425"/>
      <c r="F1" s="426"/>
      <c r="G1" s="426"/>
      <c r="H1" s="426"/>
      <c r="I1" s="416" t="s">
        <v>193</v>
      </c>
      <c r="J1" s="424" t="s">
        <v>285</v>
      </c>
      <c r="K1" s="424"/>
      <c r="L1" s="424"/>
      <c r="M1" s="424"/>
      <c r="N1" s="424"/>
      <c r="O1" s="427"/>
    </row>
    <row r="2" spans="1:15" ht="15.75" thickBot="1">
      <c r="A2" s="213"/>
      <c r="B2" s="214"/>
      <c r="C2" s="214"/>
      <c r="D2" s="106"/>
      <c r="E2" s="56"/>
      <c r="F2" s="106"/>
      <c r="G2" s="106"/>
      <c r="H2" s="106"/>
      <c r="I2" s="106"/>
      <c r="J2" s="106"/>
      <c r="K2" s="106"/>
      <c r="L2" s="106"/>
      <c r="M2" s="106"/>
      <c r="N2" s="106"/>
      <c r="O2" s="129"/>
    </row>
    <row r="3" spans="1:15" s="5" customFormat="1" ht="15.75">
      <c r="A3" s="157"/>
      <c r="B3" s="158"/>
      <c r="C3" s="158"/>
      <c r="D3" s="164" t="s">
        <v>118</v>
      </c>
      <c r="E3" s="354"/>
      <c r="F3" s="158" t="s">
        <v>114</v>
      </c>
      <c r="G3" s="158" t="s">
        <v>117</v>
      </c>
      <c r="H3" s="158" t="s">
        <v>2</v>
      </c>
      <c r="I3" s="158" t="s">
        <v>121</v>
      </c>
      <c r="J3" s="158" t="s">
        <v>35</v>
      </c>
      <c r="K3" s="158" t="s">
        <v>123</v>
      </c>
      <c r="L3" s="158" t="s">
        <v>125</v>
      </c>
      <c r="M3" s="158" t="s">
        <v>35</v>
      </c>
      <c r="N3" s="165">
        <v>0.15</v>
      </c>
      <c r="O3" s="166" t="s">
        <v>130</v>
      </c>
    </row>
    <row r="4" spans="1:15" s="5" customFormat="1" ht="15.75">
      <c r="A4" s="163" t="s">
        <v>103</v>
      </c>
      <c r="B4" s="161" t="s">
        <v>23</v>
      </c>
      <c r="C4" s="161" t="s">
        <v>24</v>
      </c>
      <c r="D4" s="153" t="s">
        <v>119</v>
      </c>
      <c r="E4" s="355" t="s">
        <v>120</v>
      </c>
      <c r="F4" s="161" t="s">
        <v>115</v>
      </c>
      <c r="G4" s="161" t="s">
        <v>116</v>
      </c>
      <c r="H4" s="167" t="s">
        <v>106</v>
      </c>
      <c r="I4" s="161" t="s">
        <v>122</v>
      </c>
      <c r="J4" s="167" t="s">
        <v>128</v>
      </c>
      <c r="K4" s="161" t="s">
        <v>124</v>
      </c>
      <c r="L4" s="161" t="s">
        <v>126</v>
      </c>
      <c r="M4" s="167" t="s">
        <v>127</v>
      </c>
      <c r="N4" s="161" t="s">
        <v>129</v>
      </c>
      <c r="O4" s="168" t="s">
        <v>131</v>
      </c>
    </row>
    <row r="5" spans="1:15" s="5" customFormat="1" ht="16.5" thickBot="1">
      <c r="A5" s="159"/>
      <c r="B5" s="160"/>
      <c r="C5" s="160"/>
      <c r="D5" s="162"/>
      <c r="E5" s="356"/>
      <c r="F5" s="169" t="s">
        <v>104</v>
      </c>
      <c r="G5" s="169" t="s">
        <v>105</v>
      </c>
      <c r="H5" s="169" t="s">
        <v>107</v>
      </c>
      <c r="I5" s="169" t="s">
        <v>108</v>
      </c>
      <c r="J5" s="169" t="s">
        <v>109</v>
      </c>
      <c r="K5" s="169" t="s">
        <v>110</v>
      </c>
      <c r="L5" s="169" t="s">
        <v>111</v>
      </c>
      <c r="M5" s="169" t="s">
        <v>112</v>
      </c>
      <c r="N5" s="169" t="s">
        <v>113</v>
      </c>
      <c r="O5" s="170" t="s">
        <v>132</v>
      </c>
    </row>
    <row r="6" spans="1:15" s="5" customFormat="1" ht="15.75">
      <c r="A6" s="204"/>
      <c r="B6" s="32"/>
      <c r="C6" s="31"/>
      <c r="D6" s="153"/>
      <c r="E6" s="355"/>
      <c r="F6" s="31"/>
      <c r="G6" s="31"/>
      <c r="H6" s="31"/>
      <c r="I6" s="31"/>
      <c r="J6" s="31"/>
      <c r="K6" s="31"/>
      <c r="L6" s="31"/>
      <c r="M6" s="31"/>
      <c r="N6" s="31"/>
      <c r="O6" s="205"/>
    </row>
    <row r="7" spans="1:46" s="5" customFormat="1" ht="15.75">
      <c r="A7" s="449" t="s">
        <v>324</v>
      </c>
      <c r="B7" s="32"/>
      <c r="C7" s="31"/>
      <c r="D7" s="155">
        <v>516.96</v>
      </c>
      <c r="E7" s="355"/>
      <c r="F7" s="206"/>
      <c r="G7" s="206"/>
      <c r="H7" s="206"/>
      <c r="I7" s="206"/>
      <c r="J7" s="206"/>
      <c r="K7" s="206"/>
      <c r="L7" s="207">
        <v>66335</v>
      </c>
      <c r="M7" s="206"/>
      <c r="N7" s="206"/>
      <c r="O7" s="208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</row>
    <row r="8" spans="1:46" s="5" customFormat="1" ht="15.75">
      <c r="A8" s="204" t="s">
        <v>98</v>
      </c>
      <c r="B8" s="32"/>
      <c r="C8" s="31"/>
      <c r="D8" s="156">
        <v>0.019</v>
      </c>
      <c r="E8" s="355"/>
      <c r="F8" s="206"/>
      <c r="G8" s="206"/>
      <c r="H8" s="206"/>
      <c r="I8" s="206"/>
      <c r="J8" s="206"/>
      <c r="K8" s="206"/>
      <c r="L8" s="207"/>
      <c r="M8" s="206"/>
      <c r="N8" s="206"/>
      <c r="O8" s="208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</row>
    <row r="9" spans="1:46" ht="15">
      <c r="A9" s="58"/>
      <c r="B9" s="31"/>
      <c r="C9" s="31"/>
      <c r="D9" s="100"/>
      <c r="E9" s="53"/>
      <c r="F9" s="53"/>
      <c r="G9" s="100"/>
      <c r="H9" s="100"/>
      <c r="I9" s="100"/>
      <c r="J9" s="100"/>
      <c r="K9" s="100"/>
      <c r="L9" s="53"/>
      <c r="M9" s="100"/>
      <c r="N9" s="100"/>
      <c r="O9" s="4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5">
      <c r="A10" s="210" t="s">
        <v>102</v>
      </c>
      <c r="B10" s="31">
        <v>2009</v>
      </c>
      <c r="C10" s="209">
        <v>54</v>
      </c>
      <c r="D10" s="101">
        <v>516.96</v>
      </c>
      <c r="E10" s="53"/>
      <c r="F10" s="53"/>
      <c r="G10" s="100"/>
      <c r="H10" s="100"/>
      <c r="I10" s="100"/>
      <c r="J10" s="100"/>
      <c r="K10" s="100"/>
      <c r="L10" s="53"/>
      <c r="M10" s="100"/>
      <c r="N10" s="100"/>
      <c r="O10" s="4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5">
      <c r="A11" s="58" t="s">
        <v>99</v>
      </c>
      <c r="B11" s="31">
        <v>2009</v>
      </c>
      <c r="C11" s="209">
        <v>54.25</v>
      </c>
      <c r="D11" s="101">
        <v>519.41556</v>
      </c>
      <c r="E11" s="53"/>
      <c r="F11" s="53"/>
      <c r="G11" s="100"/>
      <c r="H11" s="100"/>
      <c r="I11" s="100"/>
      <c r="J11" s="100"/>
      <c r="K11" s="100"/>
      <c r="L11" s="53"/>
      <c r="M11" s="100"/>
      <c r="N11" s="100"/>
      <c r="O11" s="4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5">
      <c r="A12" s="58" t="s">
        <v>100</v>
      </c>
      <c r="B12" s="31">
        <v>2009</v>
      </c>
      <c r="C12" s="209">
        <v>54.5</v>
      </c>
      <c r="D12" s="101">
        <v>521.8827839100001</v>
      </c>
      <c r="E12" s="53"/>
      <c r="F12" s="53"/>
      <c r="G12" s="100"/>
      <c r="H12" s="100"/>
      <c r="I12" s="100"/>
      <c r="J12" s="100"/>
      <c r="K12" s="100"/>
      <c r="L12" s="53"/>
      <c r="M12" s="100"/>
      <c r="N12" s="100"/>
      <c r="O12" s="4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5">
      <c r="A13" s="58" t="s">
        <v>101</v>
      </c>
      <c r="B13" s="31">
        <v>2009</v>
      </c>
      <c r="C13" s="209">
        <v>54.75</v>
      </c>
      <c r="D13" s="101">
        <v>524.3617271335726</v>
      </c>
      <c r="E13" s="53"/>
      <c r="F13" s="53"/>
      <c r="G13" s="100"/>
      <c r="H13" s="100"/>
      <c r="I13" s="100"/>
      <c r="J13" s="100"/>
      <c r="K13" s="100"/>
      <c r="L13" s="53">
        <v>66335</v>
      </c>
      <c r="M13" s="100"/>
      <c r="N13" s="100"/>
      <c r="O13" s="4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5">
      <c r="A14" s="210" t="s">
        <v>102</v>
      </c>
      <c r="B14" s="31">
        <v>2010</v>
      </c>
      <c r="C14" s="209">
        <v>55</v>
      </c>
      <c r="D14" s="101">
        <v>526.8524453374571</v>
      </c>
      <c r="E14" s="53"/>
      <c r="F14" s="53"/>
      <c r="G14" s="100"/>
      <c r="H14" s="100"/>
      <c r="I14" s="100"/>
      <c r="J14" s="100"/>
      <c r="K14" s="100"/>
      <c r="L14" s="53"/>
      <c r="M14" s="100"/>
      <c r="N14" s="100"/>
      <c r="O14" s="4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5">
      <c r="A15" s="58" t="s">
        <v>99</v>
      </c>
      <c r="B15" s="31">
        <v>2010</v>
      </c>
      <c r="C15" s="209">
        <v>55.25</v>
      </c>
      <c r="D15" s="101">
        <v>529.35499445281</v>
      </c>
      <c r="E15" s="53"/>
      <c r="F15" s="53"/>
      <c r="G15" s="100"/>
      <c r="H15" s="100"/>
      <c r="I15" s="100"/>
      <c r="J15" s="100"/>
      <c r="K15" s="100"/>
      <c r="L15" s="53"/>
      <c r="M15" s="100"/>
      <c r="N15" s="100"/>
      <c r="O15" s="4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5">
      <c r="A16" s="58" t="s">
        <v>100</v>
      </c>
      <c r="B16" s="31">
        <v>2010</v>
      </c>
      <c r="C16" s="209">
        <v>55.5</v>
      </c>
      <c r="D16" s="101">
        <v>531.8694306764609</v>
      </c>
      <c r="E16" s="53"/>
      <c r="F16" s="53"/>
      <c r="G16" s="100"/>
      <c r="H16" s="100"/>
      <c r="I16" s="100"/>
      <c r="J16" s="100"/>
      <c r="K16" s="100"/>
      <c r="L16" s="53"/>
      <c r="M16" s="100"/>
      <c r="N16" s="100"/>
      <c r="O16" s="4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5">
      <c r="A17" s="58" t="s">
        <v>101</v>
      </c>
      <c r="B17" s="31">
        <v>2010</v>
      </c>
      <c r="C17" s="209">
        <v>55.75</v>
      </c>
      <c r="D17" s="101">
        <v>534.395810472174</v>
      </c>
      <c r="E17" s="53"/>
      <c r="F17" s="53"/>
      <c r="G17" s="100"/>
      <c r="H17" s="100"/>
      <c r="I17" s="100"/>
      <c r="J17" s="100"/>
      <c r="K17" s="100"/>
      <c r="L17" s="53">
        <v>67595.36499999999</v>
      </c>
      <c r="M17" s="100"/>
      <c r="N17" s="100"/>
      <c r="O17" s="4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5">
      <c r="A18" s="210" t="s">
        <v>102</v>
      </c>
      <c r="B18" s="31">
        <v>2011</v>
      </c>
      <c r="C18" s="209">
        <v>56</v>
      </c>
      <c r="D18" s="101">
        <v>536.9341905719169</v>
      </c>
      <c r="E18" s="53"/>
      <c r="F18" s="53"/>
      <c r="G18" s="100"/>
      <c r="H18" s="100"/>
      <c r="I18" s="100"/>
      <c r="J18" s="100"/>
      <c r="K18" s="100"/>
      <c r="L18" s="53"/>
      <c r="M18" s="100"/>
      <c r="N18" s="100"/>
      <c r="O18" s="4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5">
      <c r="A19" s="58" t="s">
        <v>99</v>
      </c>
      <c r="B19" s="31">
        <v>2011</v>
      </c>
      <c r="C19" s="209">
        <v>56.25</v>
      </c>
      <c r="D19" s="101">
        <v>539.4846279771335</v>
      </c>
      <c r="E19" s="53"/>
      <c r="F19" s="53"/>
      <c r="G19" s="100"/>
      <c r="H19" s="100"/>
      <c r="I19" s="100"/>
      <c r="J19" s="100"/>
      <c r="K19" s="100"/>
      <c r="L19" s="53"/>
      <c r="M19" s="100"/>
      <c r="N19" s="100"/>
      <c r="O19" s="4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5">
      <c r="A20" s="58" t="s">
        <v>100</v>
      </c>
      <c r="B20" s="31">
        <v>2011</v>
      </c>
      <c r="C20" s="209">
        <v>56.5</v>
      </c>
      <c r="D20" s="101">
        <v>542.0471799600249</v>
      </c>
      <c r="E20" s="53"/>
      <c r="F20" s="53"/>
      <c r="G20" s="100"/>
      <c r="H20" s="100"/>
      <c r="I20" s="100"/>
      <c r="J20" s="100"/>
      <c r="K20" s="100"/>
      <c r="L20" s="53"/>
      <c r="M20" s="100"/>
      <c r="N20" s="100"/>
      <c r="O20" s="4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5">
      <c r="A21" s="58" t="s">
        <v>101</v>
      </c>
      <c r="B21" s="31">
        <v>2011</v>
      </c>
      <c r="C21" s="209">
        <v>56.75</v>
      </c>
      <c r="D21" s="101">
        <v>544.621904064835</v>
      </c>
      <c r="E21" s="53"/>
      <c r="F21" s="53"/>
      <c r="G21" s="100"/>
      <c r="H21" s="100"/>
      <c r="I21" s="100"/>
      <c r="J21" s="100"/>
      <c r="K21" s="100"/>
      <c r="L21" s="53">
        <v>68879.67693499998</v>
      </c>
      <c r="M21" s="100"/>
      <c r="N21" s="100"/>
      <c r="O21" s="4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5">
      <c r="A22" s="210" t="s">
        <v>102</v>
      </c>
      <c r="B22" s="31">
        <v>2012</v>
      </c>
      <c r="C22" s="209">
        <v>57</v>
      </c>
      <c r="D22" s="101">
        <v>547.208858109143</v>
      </c>
      <c r="E22" s="53"/>
      <c r="F22" s="53"/>
      <c r="G22" s="100"/>
      <c r="H22" s="100"/>
      <c r="I22" s="100"/>
      <c r="J22" s="100"/>
      <c r="K22" s="100"/>
      <c r="L22" s="53"/>
      <c r="M22" s="100"/>
      <c r="N22" s="100"/>
      <c r="O22" s="4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5">
      <c r="A23" s="58" t="s">
        <v>99</v>
      </c>
      <c r="B23" s="31">
        <v>2012</v>
      </c>
      <c r="C23" s="209">
        <v>57.25</v>
      </c>
      <c r="D23" s="101">
        <v>549.8081001851614</v>
      </c>
      <c r="E23" s="53"/>
      <c r="F23" s="53"/>
      <c r="G23" s="100"/>
      <c r="H23" s="100"/>
      <c r="I23" s="100"/>
      <c r="J23" s="100"/>
      <c r="K23" s="100"/>
      <c r="L23" s="53"/>
      <c r="M23" s="100"/>
      <c r="N23" s="100"/>
      <c r="O23" s="4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5">
      <c r="A24" s="58" t="s">
        <v>100</v>
      </c>
      <c r="B24" s="31">
        <v>2012</v>
      </c>
      <c r="C24" s="209">
        <v>57.5</v>
      </c>
      <c r="D24" s="101">
        <v>552.4196886610409</v>
      </c>
      <c r="E24" s="53"/>
      <c r="F24" s="53"/>
      <c r="G24" s="100"/>
      <c r="H24" s="100"/>
      <c r="I24" s="100"/>
      <c r="J24" s="100"/>
      <c r="K24" s="100"/>
      <c r="L24" s="53"/>
      <c r="M24" s="100"/>
      <c r="N24" s="100"/>
      <c r="O24" s="4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5">
      <c r="A25" s="58" t="s">
        <v>101</v>
      </c>
      <c r="B25" s="31">
        <v>2012</v>
      </c>
      <c r="C25" s="209">
        <v>57.75</v>
      </c>
      <c r="D25" s="101">
        <v>555.0436821821809</v>
      </c>
      <c r="E25" s="53"/>
      <c r="F25" s="53"/>
      <c r="G25" s="100"/>
      <c r="H25" s="100"/>
      <c r="I25" s="100"/>
      <c r="J25" s="100"/>
      <c r="K25" s="100"/>
      <c r="L25" s="53">
        <v>70188.39079676497</v>
      </c>
      <c r="M25" s="100"/>
      <c r="N25" s="100"/>
      <c r="O25" s="4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5">
      <c r="A26" s="210" t="s">
        <v>102</v>
      </c>
      <c r="B26" s="31">
        <v>2013</v>
      </c>
      <c r="C26" s="209">
        <v>58</v>
      </c>
      <c r="D26" s="101">
        <v>557.6801396725463</v>
      </c>
      <c r="E26" s="53"/>
      <c r="F26" s="53"/>
      <c r="G26" s="100"/>
      <c r="H26" s="100"/>
      <c r="I26" s="100"/>
      <c r="J26" s="100"/>
      <c r="K26" s="100"/>
      <c r="L26" s="53"/>
      <c r="M26" s="100"/>
      <c r="N26" s="100"/>
      <c r="O26" s="4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5">
      <c r="A27" s="58" t="s">
        <v>99</v>
      </c>
      <c r="B27" s="31">
        <v>2013</v>
      </c>
      <c r="C27" s="209">
        <v>58.25</v>
      </c>
      <c r="D27" s="101">
        <v>560.3291203359909</v>
      </c>
      <c r="E27" s="53"/>
      <c r="F27" s="53"/>
      <c r="G27" s="100"/>
      <c r="H27" s="100"/>
      <c r="I27" s="100"/>
      <c r="J27" s="100"/>
      <c r="K27" s="100"/>
      <c r="L27" s="53"/>
      <c r="M27" s="100"/>
      <c r="N27" s="100"/>
      <c r="O27" s="4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5">
      <c r="A28" s="58" t="s">
        <v>100</v>
      </c>
      <c r="B28" s="31">
        <v>2013</v>
      </c>
      <c r="C28" s="209">
        <v>58.5</v>
      </c>
      <c r="D28" s="101">
        <v>562.9906836575868</v>
      </c>
      <c r="E28" s="53"/>
      <c r="F28" s="53"/>
      <c r="G28" s="100"/>
      <c r="H28" s="100"/>
      <c r="I28" s="100"/>
      <c r="J28" s="100"/>
      <c r="K28" s="100"/>
      <c r="L28" s="53"/>
      <c r="M28" s="100"/>
      <c r="N28" s="100"/>
      <c r="O28" s="4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5">
      <c r="A29" s="58" t="s">
        <v>101</v>
      </c>
      <c r="B29" s="31">
        <v>2013</v>
      </c>
      <c r="C29" s="209">
        <v>58.75</v>
      </c>
      <c r="D29" s="101">
        <v>565.6648894049604</v>
      </c>
      <c r="E29" s="53"/>
      <c r="F29" s="53"/>
      <c r="G29" s="100"/>
      <c r="H29" s="100"/>
      <c r="I29" s="100"/>
      <c r="J29" s="100"/>
      <c r="K29" s="100"/>
      <c r="L29" s="53">
        <v>71521.9702219035</v>
      </c>
      <c r="M29" s="100"/>
      <c r="N29" s="100"/>
      <c r="O29" s="4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5">
      <c r="A30" s="210" t="s">
        <v>102</v>
      </c>
      <c r="B30" s="31">
        <v>2014</v>
      </c>
      <c r="C30" s="209">
        <v>59</v>
      </c>
      <c r="D30" s="101">
        <v>568.351797629634</v>
      </c>
      <c r="E30" s="53"/>
      <c r="F30" s="53"/>
      <c r="G30" s="100"/>
      <c r="H30" s="100"/>
      <c r="I30" s="100"/>
      <c r="J30" s="100"/>
      <c r="K30" s="100"/>
      <c r="L30" s="53"/>
      <c r="M30" s="100"/>
      <c r="N30" s="100"/>
      <c r="O30" s="4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5">
      <c r="A31" s="58" t="s">
        <v>99</v>
      </c>
      <c r="B31" s="31">
        <v>2014</v>
      </c>
      <c r="C31" s="209">
        <v>59.25</v>
      </c>
      <c r="D31" s="101">
        <v>571.0514686683748</v>
      </c>
      <c r="E31" s="53"/>
      <c r="F31" s="53"/>
      <c r="G31" s="100"/>
      <c r="H31" s="100"/>
      <c r="I31" s="100"/>
      <c r="J31" s="100"/>
      <c r="K31" s="100"/>
      <c r="L31" s="53"/>
      <c r="M31" s="100"/>
      <c r="N31" s="100"/>
      <c r="O31" s="4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5">
      <c r="A32" s="58" t="s">
        <v>100</v>
      </c>
      <c r="B32" s="31">
        <v>2014</v>
      </c>
      <c r="C32" s="209">
        <v>59.5</v>
      </c>
      <c r="D32" s="101">
        <v>573.7639631445496</v>
      </c>
      <c r="E32" s="53"/>
      <c r="F32" s="53"/>
      <c r="G32" s="100"/>
      <c r="H32" s="100"/>
      <c r="I32" s="100"/>
      <c r="J32" s="100"/>
      <c r="K32" s="100"/>
      <c r="L32" s="53"/>
      <c r="M32" s="100"/>
      <c r="N32" s="100"/>
      <c r="O32" s="4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15">
      <c r="A33" s="58" t="s">
        <v>101</v>
      </c>
      <c r="B33" s="31">
        <v>2014</v>
      </c>
      <c r="C33" s="209">
        <v>59.75</v>
      </c>
      <c r="D33" s="101">
        <v>576.4893419694863</v>
      </c>
      <c r="E33" s="53"/>
      <c r="F33" s="53"/>
      <c r="G33" s="100"/>
      <c r="H33" s="100"/>
      <c r="I33" s="100"/>
      <c r="J33" s="100"/>
      <c r="K33" s="100"/>
      <c r="L33" s="53">
        <v>72880.88765611965</v>
      </c>
      <c r="M33" s="100"/>
      <c r="N33" s="100"/>
      <c r="O33" s="4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15">
      <c r="A34" s="210" t="s">
        <v>102</v>
      </c>
      <c r="B34" s="31">
        <v>2015</v>
      </c>
      <c r="C34" s="209">
        <v>60</v>
      </c>
      <c r="D34" s="101">
        <v>579.2276663438414</v>
      </c>
      <c r="E34" s="53"/>
      <c r="F34" s="53"/>
      <c r="G34" s="100"/>
      <c r="H34" s="100"/>
      <c r="I34" s="100"/>
      <c r="J34" s="100"/>
      <c r="K34" s="100"/>
      <c r="L34" s="53"/>
      <c r="M34" s="100"/>
      <c r="N34" s="100"/>
      <c r="O34" s="4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ht="15">
      <c r="A35" s="58" t="s">
        <v>99</v>
      </c>
      <c r="B35" s="31">
        <v>2015</v>
      </c>
      <c r="C35" s="209">
        <v>60.25</v>
      </c>
      <c r="D35" s="101">
        <v>581.9789977589746</v>
      </c>
      <c r="E35" s="53"/>
      <c r="F35" s="53"/>
      <c r="G35" s="100"/>
      <c r="H35" s="100"/>
      <c r="I35" s="100"/>
      <c r="J35" s="100"/>
      <c r="K35" s="100"/>
      <c r="L35" s="53"/>
      <c r="M35" s="100"/>
      <c r="N35" s="100"/>
      <c r="O35" s="4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ht="15">
      <c r="A36" s="58" t="s">
        <v>100</v>
      </c>
      <c r="B36" s="31">
        <v>2015</v>
      </c>
      <c r="C36" s="209">
        <v>60.5</v>
      </c>
      <c r="D36" s="101">
        <v>584.7433979983298</v>
      </c>
      <c r="E36" s="53"/>
      <c r="F36" s="53"/>
      <c r="G36" s="100"/>
      <c r="H36" s="100"/>
      <c r="I36" s="100"/>
      <c r="J36" s="100"/>
      <c r="K36" s="100"/>
      <c r="L36" s="53"/>
      <c r="M36" s="100"/>
      <c r="N36" s="100"/>
      <c r="O36" s="4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ht="15">
      <c r="A37" s="58" t="s">
        <v>101</v>
      </c>
      <c r="B37" s="31">
        <v>2015</v>
      </c>
      <c r="C37" s="209">
        <v>60.75</v>
      </c>
      <c r="D37" s="101">
        <v>587.5209291388219</v>
      </c>
      <c r="E37" s="53"/>
      <c r="F37" s="53"/>
      <c r="G37" s="100"/>
      <c r="H37" s="100"/>
      <c r="I37" s="100"/>
      <c r="J37" s="100"/>
      <c r="K37" s="100"/>
      <c r="L37" s="53">
        <v>74265.62452158592</v>
      </c>
      <c r="M37" s="100"/>
      <c r="N37" s="100"/>
      <c r="O37" s="4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ht="15">
      <c r="A38" s="210" t="s">
        <v>102</v>
      </c>
      <c r="B38" s="31">
        <v>2016</v>
      </c>
      <c r="C38" s="209">
        <v>61</v>
      </c>
      <c r="D38" s="101">
        <v>590.3116535522313</v>
      </c>
      <c r="E38" s="53"/>
      <c r="F38" s="53"/>
      <c r="G38" s="100"/>
      <c r="H38" s="100"/>
      <c r="I38" s="100"/>
      <c r="J38" s="100"/>
      <c r="K38" s="100"/>
      <c r="L38" s="53"/>
      <c r="M38" s="100"/>
      <c r="N38" s="100"/>
      <c r="O38" s="4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ht="15">
      <c r="A39" s="58" t="s">
        <v>99</v>
      </c>
      <c r="B39" s="31">
        <v>2016</v>
      </c>
      <c r="C39" s="209">
        <v>61.25</v>
      </c>
      <c r="D39" s="101">
        <v>593.1156339066044</v>
      </c>
      <c r="E39" s="53"/>
      <c r="F39" s="53"/>
      <c r="G39" s="100"/>
      <c r="H39" s="100"/>
      <c r="I39" s="100"/>
      <c r="J39" s="100"/>
      <c r="K39" s="100"/>
      <c r="L39" s="53"/>
      <c r="M39" s="100"/>
      <c r="N39" s="100"/>
      <c r="O39" s="4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ht="15">
      <c r="A40" s="58" t="s">
        <v>100</v>
      </c>
      <c r="B40" s="31">
        <v>2016</v>
      </c>
      <c r="C40" s="209">
        <v>61.5</v>
      </c>
      <c r="D40" s="101">
        <v>595.9329331676608</v>
      </c>
      <c r="E40" s="53"/>
      <c r="F40" s="53"/>
      <c r="G40" s="100"/>
      <c r="H40" s="100"/>
      <c r="I40" s="100"/>
      <c r="J40" s="100"/>
      <c r="K40" s="100"/>
      <c r="L40" s="53"/>
      <c r="M40" s="100"/>
      <c r="N40" s="100"/>
      <c r="O40" s="4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ht="15">
      <c r="A41" s="58" t="s">
        <v>101</v>
      </c>
      <c r="B41" s="31">
        <v>2016</v>
      </c>
      <c r="C41" s="209">
        <v>61.75</v>
      </c>
      <c r="D41" s="101">
        <v>598.7636146002072</v>
      </c>
      <c r="E41" s="53"/>
      <c r="F41" s="53"/>
      <c r="G41" s="100"/>
      <c r="H41" s="100"/>
      <c r="I41" s="100"/>
      <c r="J41" s="100"/>
      <c r="K41" s="100"/>
      <c r="L41" s="53">
        <v>75676.67138749606</v>
      </c>
      <c r="M41" s="100"/>
      <c r="N41" s="100"/>
      <c r="O41" s="4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ht="15">
      <c r="A42" s="210" t="s">
        <v>102</v>
      </c>
      <c r="B42" s="31">
        <v>2017</v>
      </c>
      <c r="C42" s="209">
        <v>62</v>
      </c>
      <c r="D42" s="101">
        <v>601.6077417695583</v>
      </c>
      <c r="E42" s="53"/>
      <c r="F42" s="53"/>
      <c r="G42" s="100"/>
      <c r="H42" s="100"/>
      <c r="I42" s="100"/>
      <c r="J42" s="100"/>
      <c r="K42" s="100"/>
      <c r="L42" s="53"/>
      <c r="M42" s="100"/>
      <c r="N42" s="100"/>
      <c r="O42" s="4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ht="15">
      <c r="A43" s="58" t="s">
        <v>99</v>
      </c>
      <c r="B43" s="31">
        <v>2017</v>
      </c>
      <c r="C43" s="209">
        <v>62.25</v>
      </c>
      <c r="D43" s="101">
        <v>604.4653785429637</v>
      </c>
      <c r="E43" s="53"/>
      <c r="F43" s="53"/>
      <c r="G43" s="100"/>
      <c r="H43" s="100"/>
      <c r="I43" s="100"/>
      <c r="J43" s="100"/>
      <c r="K43" s="100"/>
      <c r="L43" s="53"/>
      <c r="M43" s="100"/>
      <c r="N43" s="100"/>
      <c r="O43" s="4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46" ht="15">
      <c r="A44" s="58" t="s">
        <v>100</v>
      </c>
      <c r="B44" s="31">
        <v>2017</v>
      </c>
      <c r="C44" s="209">
        <v>62.5</v>
      </c>
      <c r="D44" s="101">
        <v>607.3365890910428</v>
      </c>
      <c r="E44" s="53"/>
      <c r="F44" s="53"/>
      <c r="G44" s="100"/>
      <c r="H44" s="100"/>
      <c r="I44" s="100"/>
      <c r="J44" s="100"/>
      <c r="K44" s="100"/>
      <c r="L44" s="53"/>
      <c r="M44" s="100"/>
      <c r="N44" s="100"/>
      <c r="O44" s="4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46" ht="15">
      <c r="A45" s="58" t="s">
        <v>101</v>
      </c>
      <c r="B45" s="31">
        <v>2017</v>
      </c>
      <c r="C45" s="209">
        <v>62.75</v>
      </c>
      <c r="D45" s="101">
        <v>610.2214378892253</v>
      </c>
      <c r="E45" s="53"/>
      <c r="F45" s="53"/>
      <c r="G45" s="100"/>
      <c r="H45" s="100"/>
      <c r="I45" s="100"/>
      <c r="J45" s="100"/>
      <c r="K45" s="100"/>
      <c r="L45" s="53">
        <v>77114.52814385848</v>
      </c>
      <c r="M45" s="100"/>
      <c r="N45" s="100"/>
      <c r="O45" s="4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ht="15">
      <c r="A46" s="210" t="s">
        <v>102</v>
      </c>
      <c r="B46" s="31">
        <v>2018</v>
      </c>
      <c r="C46" s="209">
        <v>63</v>
      </c>
      <c r="D46" s="101">
        <v>613.1199897191991</v>
      </c>
      <c r="E46" s="53"/>
      <c r="F46" s="53"/>
      <c r="G46" s="100"/>
      <c r="H46" s="100"/>
      <c r="I46" s="100"/>
      <c r="J46" s="100"/>
      <c r="K46" s="100"/>
      <c r="L46" s="53"/>
      <c r="M46" s="100"/>
      <c r="N46" s="100"/>
      <c r="O46" s="4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ht="15">
      <c r="A47" s="58" t="s">
        <v>99</v>
      </c>
      <c r="B47" s="31">
        <v>2018</v>
      </c>
      <c r="C47" s="209">
        <v>63.25</v>
      </c>
      <c r="D47" s="101">
        <v>616.0323096703653</v>
      </c>
      <c r="E47" s="53"/>
      <c r="F47" s="53"/>
      <c r="G47" s="100"/>
      <c r="H47" s="100"/>
      <c r="I47" s="100"/>
      <c r="J47" s="100"/>
      <c r="K47" s="100"/>
      <c r="L47" s="53"/>
      <c r="M47" s="100"/>
      <c r="N47" s="100"/>
      <c r="O47" s="4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ht="15">
      <c r="A48" s="58" t="s">
        <v>100</v>
      </c>
      <c r="B48" s="31">
        <v>2018</v>
      </c>
      <c r="C48" s="209">
        <v>63.5</v>
      </c>
      <c r="D48" s="101">
        <v>618.9584631412996</v>
      </c>
      <c r="E48" s="53"/>
      <c r="F48" s="53"/>
      <c r="G48" s="100"/>
      <c r="H48" s="100"/>
      <c r="I48" s="100"/>
      <c r="J48" s="100"/>
      <c r="K48" s="53"/>
      <c r="L48" s="53"/>
      <c r="M48" s="100"/>
      <c r="N48" s="100"/>
      <c r="O48" s="4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ht="15">
      <c r="A49" s="58" t="s">
        <v>101</v>
      </c>
      <c r="B49" s="31">
        <v>2018</v>
      </c>
      <c r="C49" s="209">
        <v>63.75</v>
      </c>
      <c r="D49" s="101">
        <v>621.8985158412208</v>
      </c>
      <c r="E49" s="53"/>
      <c r="F49" s="53"/>
      <c r="G49" s="100"/>
      <c r="H49" s="100"/>
      <c r="I49" s="100"/>
      <c r="J49" s="100"/>
      <c r="K49" s="53"/>
      <c r="L49" s="53">
        <v>78579.70417859178</v>
      </c>
      <c r="M49" s="100"/>
      <c r="N49" s="100"/>
      <c r="O49" s="4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ht="15">
      <c r="A50" s="210" t="s">
        <v>102</v>
      </c>
      <c r="B50" s="31">
        <v>2019</v>
      </c>
      <c r="C50" s="209">
        <v>64</v>
      </c>
      <c r="D50" s="101">
        <v>624.8525337914666</v>
      </c>
      <c r="E50" s="53"/>
      <c r="F50" s="53"/>
      <c r="G50" s="100"/>
      <c r="H50" s="100"/>
      <c r="I50" s="100"/>
      <c r="J50" s="100"/>
      <c r="K50" s="53"/>
      <c r="L50" s="53"/>
      <c r="M50" s="100"/>
      <c r="N50" s="100"/>
      <c r="O50" s="4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ht="15">
      <c r="A51" s="58" t="s">
        <v>99</v>
      </c>
      <c r="B51" s="31">
        <v>2019</v>
      </c>
      <c r="C51" s="209">
        <v>64.25</v>
      </c>
      <c r="D51" s="101">
        <v>627.8205833269761</v>
      </c>
      <c r="E51" s="53"/>
      <c r="F51" s="53"/>
      <c r="G51" s="100"/>
      <c r="H51" s="100"/>
      <c r="I51" s="100"/>
      <c r="J51" s="100"/>
      <c r="K51" s="53"/>
      <c r="L51" s="53"/>
      <c r="M51" s="100"/>
      <c r="N51" s="100"/>
      <c r="O51" s="4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ht="15">
      <c r="A52" s="58" t="s">
        <v>100</v>
      </c>
      <c r="B52" s="31">
        <v>2019</v>
      </c>
      <c r="C52" s="209">
        <v>64.5</v>
      </c>
      <c r="D52" s="101">
        <v>630.8027310977793</v>
      </c>
      <c r="E52" s="53"/>
      <c r="F52" s="53"/>
      <c r="G52" s="100"/>
      <c r="H52" s="53"/>
      <c r="I52" s="53"/>
      <c r="J52" s="53"/>
      <c r="K52" s="53"/>
      <c r="L52" s="53"/>
      <c r="M52" s="53"/>
      <c r="N52" s="53"/>
      <c r="O52" s="54"/>
      <c r="P52" s="7"/>
      <c r="Q52" s="7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ht="15">
      <c r="A53" s="58" t="s">
        <v>101</v>
      </c>
      <c r="B53" s="31">
        <v>2019</v>
      </c>
      <c r="C53" s="209">
        <v>64.75</v>
      </c>
      <c r="D53" s="101">
        <v>633.7990440704938</v>
      </c>
      <c r="E53" s="53"/>
      <c r="F53" s="53"/>
      <c r="G53" s="100"/>
      <c r="H53" s="53"/>
      <c r="I53" s="53"/>
      <c r="J53" s="53"/>
      <c r="K53" s="53"/>
      <c r="L53" s="53">
        <v>80072.71855798502</v>
      </c>
      <c r="M53" s="53"/>
      <c r="N53" s="53"/>
      <c r="O53" s="54"/>
      <c r="P53" s="7"/>
      <c r="Q53" s="7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ht="15">
      <c r="A54" s="210" t="s">
        <v>102</v>
      </c>
      <c r="B54" s="31">
        <v>2020</v>
      </c>
      <c r="C54" s="209">
        <v>65</v>
      </c>
      <c r="D54" s="101">
        <v>636.8095895298286</v>
      </c>
      <c r="E54" s="53">
        <v>1910.4287685894858</v>
      </c>
      <c r="F54" s="53"/>
      <c r="G54" s="100"/>
      <c r="H54" s="53"/>
      <c r="I54" s="53"/>
      <c r="J54" s="53"/>
      <c r="K54" s="53"/>
      <c r="L54" s="53"/>
      <c r="M54" s="53"/>
      <c r="N54" s="53"/>
      <c r="O54" s="54" t="s">
        <v>1</v>
      </c>
      <c r="P54" s="7"/>
      <c r="Q54" s="7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ht="15">
      <c r="A55" s="58" t="s">
        <v>99</v>
      </c>
      <c r="B55" s="31">
        <v>2020</v>
      </c>
      <c r="C55" s="209">
        <v>65.25</v>
      </c>
      <c r="D55" s="101">
        <v>639.8344350800953</v>
      </c>
      <c r="E55" s="53">
        <v>1919.503305240286</v>
      </c>
      <c r="F55" s="53"/>
      <c r="G55" s="100"/>
      <c r="H55" s="53"/>
      <c r="I55" s="53"/>
      <c r="J55" s="53"/>
      <c r="K55" s="53"/>
      <c r="L55" s="53"/>
      <c r="M55" s="53"/>
      <c r="N55" s="53"/>
      <c r="O55" s="54" t="s">
        <v>1</v>
      </c>
      <c r="P55" s="7"/>
      <c r="Q55" s="7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ht="15">
      <c r="A56" s="58" t="s">
        <v>100</v>
      </c>
      <c r="B56" s="31">
        <v>2020</v>
      </c>
      <c r="C56" s="209">
        <v>65.5</v>
      </c>
      <c r="D56" s="101">
        <v>642.8736486467258</v>
      </c>
      <c r="E56" s="53">
        <v>1928.6209459401773</v>
      </c>
      <c r="F56" s="53"/>
      <c r="G56" s="100"/>
      <c r="H56" s="53"/>
      <c r="I56" s="53"/>
      <c r="J56" s="53"/>
      <c r="K56" s="53"/>
      <c r="L56" s="53"/>
      <c r="M56" s="53"/>
      <c r="N56" s="53"/>
      <c r="O56" s="54" t="s">
        <v>1</v>
      </c>
      <c r="P56" s="7"/>
      <c r="Q56" s="7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</row>
    <row r="57" spans="1:46" ht="15">
      <c r="A57" s="58" t="s">
        <v>101</v>
      </c>
      <c r="B57" s="31">
        <v>2020</v>
      </c>
      <c r="C57" s="209">
        <v>65.75</v>
      </c>
      <c r="D57" s="101">
        <v>645.9272984777978</v>
      </c>
      <c r="E57" s="53">
        <v>1937.7818954333934</v>
      </c>
      <c r="F57" s="53">
        <v>7696.3349152033425</v>
      </c>
      <c r="G57" s="100"/>
      <c r="H57" s="53">
        <v>7696.3349152033425</v>
      </c>
      <c r="I57" s="53"/>
      <c r="J57" s="53">
        <v>7696.3349152033425</v>
      </c>
      <c r="K57" s="53">
        <v>29014.871485086955</v>
      </c>
      <c r="L57" s="53">
        <v>81594.10021058672</v>
      </c>
      <c r="M57" s="53">
        <v>0</v>
      </c>
      <c r="N57" s="53">
        <v>0</v>
      </c>
      <c r="O57" s="54">
        <v>0</v>
      </c>
      <c r="P57" s="7"/>
      <c r="Q57" s="7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ht="15">
      <c r="A58" s="210" t="s">
        <v>102</v>
      </c>
      <c r="B58" s="31">
        <v>2021</v>
      </c>
      <c r="C58" s="209">
        <v>66</v>
      </c>
      <c r="D58" s="101">
        <v>648.9954531455674</v>
      </c>
      <c r="E58" s="53">
        <v>1946.986359436702</v>
      </c>
      <c r="F58" s="53"/>
      <c r="G58" s="100"/>
      <c r="H58" s="53"/>
      <c r="I58" s="53"/>
      <c r="J58" s="53"/>
      <c r="K58" s="53"/>
      <c r="L58" s="53"/>
      <c r="M58" s="53"/>
      <c r="N58" s="53"/>
      <c r="O58" s="54" t="s">
        <v>1</v>
      </c>
      <c r="P58" s="7"/>
      <c r="Q58" s="7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5">
      <c r="A59" s="58" t="s">
        <v>99</v>
      </c>
      <c r="B59" s="31">
        <v>2021</v>
      </c>
      <c r="C59" s="209">
        <v>66.25</v>
      </c>
      <c r="D59" s="101">
        <v>652.0781815480088</v>
      </c>
      <c r="E59" s="53">
        <v>1956.2345446440265</v>
      </c>
      <c r="F59" s="53"/>
      <c r="G59" s="100"/>
      <c r="H59" s="53"/>
      <c r="I59" s="53"/>
      <c r="J59" s="53"/>
      <c r="K59" s="53"/>
      <c r="L59" s="53"/>
      <c r="M59" s="53"/>
      <c r="N59" s="53"/>
      <c r="O59" s="54" t="s">
        <v>1</v>
      </c>
      <c r="P59" s="7"/>
      <c r="Q59" s="7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ht="15">
      <c r="A60" s="58" t="s">
        <v>100</v>
      </c>
      <c r="B60" s="31">
        <v>2021</v>
      </c>
      <c r="C60" s="209">
        <v>66.5</v>
      </c>
      <c r="D60" s="101">
        <v>655.175552910362</v>
      </c>
      <c r="E60" s="53">
        <v>1965.5266587310857</v>
      </c>
      <c r="F60" s="53"/>
      <c r="G60" s="100"/>
      <c r="H60" s="53"/>
      <c r="I60" s="53"/>
      <c r="J60" s="53"/>
      <c r="K60" s="53"/>
      <c r="L60" s="53"/>
      <c r="M60" s="53"/>
      <c r="N60" s="53"/>
      <c r="O60" s="54" t="s">
        <v>1</v>
      </c>
      <c r="P60" s="7"/>
      <c r="Q60" s="7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15">
      <c r="A61" s="58" t="s">
        <v>101</v>
      </c>
      <c r="B61" s="31">
        <v>2021</v>
      </c>
      <c r="C61" s="209">
        <v>66.75</v>
      </c>
      <c r="D61" s="101">
        <v>658.2876367866862</v>
      </c>
      <c r="E61" s="53">
        <v>1974.8629103600588</v>
      </c>
      <c r="F61" s="53">
        <v>7843.610473171872</v>
      </c>
      <c r="G61" s="100"/>
      <c r="H61" s="53">
        <v>7843.610473171872</v>
      </c>
      <c r="I61" s="53"/>
      <c r="J61" s="53">
        <v>7843.610473171872</v>
      </c>
      <c r="K61" s="53">
        <v>29113.66093930048</v>
      </c>
      <c r="L61" s="53">
        <v>83144.38811458787</v>
      </c>
      <c r="M61" s="53">
        <v>0</v>
      </c>
      <c r="N61" s="53">
        <v>0</v>
      </c>
      <c r="O61" s="54">
        <v>0</v>
      </c>
      <c r="P61" s="7"/>
      <c r="Q61" s="7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ht="15">
      <c r="A62" s="210" t="s">
        <v>102</v>
      </c>
      <c r="B62" s="31">
        <v>2022</v>
      </c>
      <c r="C62" s="209">
        <v>67</v>
      </c>
      <c r="D62" s="101">
        <v>661.414503061423</v>
      </c>
      <c r="E62" s="53">
        <v>1984.243509184269</v>
      </c>
      <c r="F62" s="53"/>
      <c r="G62" s="100"/>
      <c r="H62" s="53"/>
      <c r="I62" s="53"/>
      <c r="J62" s="53"/>
      <c r="K62" s="53"/>
      <c r="L62" s="53"/>
      <c r="M62" s="53"/>
      <c r="N62" s="53"/>
      <c r="O62" s="54" t="s">
        <v>1</v>
      </c>
      <c r="P62" s="7"/>
      <c r="Q62" s="7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5">
      <c r="A63" s="58" t="s">
        <v>99</v>
      </c>
      <c r="B63" s="31">
        <v>2022</v>
      </c>
      <c r="C63" s="209">
        <v>67.25</v>
      </c>
      <c r="D63" s="101">
        <v>664.5562219509649</v>
      </c>
      <c r="E63" s="53">
        <v>1993.6686658528947</v>
      </c>
      <c r="F63" s="53"/>
      <c r="G63" s="100"/>
      <c r="H63" s="53"/>
      <c r="I63" s="53"/>
      <c r="J63" s="53"/>
      <c r="K63" s="53"/>
      <c r="L63" s="53"/>
      <c r="M63" s="53"/>
      <c r="N63" s="53"/>
      <c r="O63" s="54" t="s">
        <v>1</v>
      </c>
      <c r="P63" s="7"/>
      <c r="Q63" s="7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ht="15">
      <c r="A64" s="58" t="s">
        <v>100</v>
      </c>
      <c r="B64" s="31">
        <v>2022</v>
      </c>
      <c r="C64" s="209">
        <v>67.5</v>
      </c>
      <c r="D64" s="101">
        <v>667.712864005232</v>
      </c>
      <c r="E64" s="53">
        <v>2003.1385920156958</v>
      </c>
      <c r="F64" s="53"/>
      <c r="G64" s="100"/>
      <c r="H64" s="53"/>
      <c r="I64" s="53"/>
      <c r="J64" s="53"/>
      <c r="K64" s="53"/>
      <c r="L64" s="53"/>
      <c r="M64" s="53"/>
      <c r="N64" s="53"/>
      <c r="O64" s="54" t="s">
        <v>1</v>
      </c>
      <c r="P64" s="7"/>
      <c r="Q64" s="7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ht="15">
      <c r="A65" s="58" t="s">
        <v>101</v>
      </c>
      <c r="B65" s="31">
        <v>2022</v>
      </c>
      <c r="C65" s="209">
        <v>67.75</v>
      </c>
      <c r="D65" s="101">
        <v>670.8845001092568</v>
      </c>
      <c r="E65" s="53">
        <v>2012.6535003277704</v>
      </c>
      <c r="F65" s="53">
        <v>7993.70426738063</v>
      </c>
      <c r="G65" s="100"/>
      <c r="H65" s="53">
        <v>7993.70426738063</v>
      </c>
      <c r="I65" s="53"/>
      <c r="J65" s="53">
        <v>7993.70426738063</v>
      </c>
      <c r="K65" s="53">
        <v>29627.710747975165</v>
      </c>
      <c r="L65" s="53">
        <v>84724.13148876504</v>
      </c>
      <c r="M65" s="53">
        <v>0</v>
      </c>
      <c r="N65" s="53">
        <v>0</v>
      </c>
      <c r="O65" s="54">
        <v>0</v>
      </c>
      <c r="P65" s="7"/>
      <c r="Q65" s="7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ht="15">
      <c r="A66" s="210" t="s">
        <v>102</v>
      </c>
      <c r="B66" s="31">
        <v>2023</v>
      </c>
      <c r="C66" s="209">
        <v>68</v>
      </c>
      <c r="D66" s="101">
        <v>674.0712014847758</v>
      </c>
      <c r="E66" s="53">
        <v>2022.2136044543272</v>
      </c>
      <c r="F66" s="53"/>
      <c r="G66" s="100"/>
      <c r="H66" s="53"/>
      <c r="I66" s="53"/>
      <c r="J66" s="53"/>
      <c r="K66" s="53"/>
      <c r="L66" s="53"/>
      <c r="M66" s="53"/>
      <c r="N66" s="53"/>
      <c r="O66" s="54" t="s">
        <v>1</v>
      </c>
      <c r="P66" s="7"/>
      <c r="Q66" s="7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ht="15">
      <c r="A67" s="58" t="s">
        <v>99</v>
      </c>
      <c r="B67" s="31">
        <v>2023</v>
      </c>
      <c r="C67" s="209">
        <v>68.25</v>
      </c>
      <c r="D67" s="101">
        <v>677.2730396918284</v>
      </c>
      <c r="E67" s="53">
        <v>2031.8191190754853</v>
      </c>
      <c r="F67" s="53"/>
      <c r="G67" s="100"/>
      <c r="H67" s="53"/>
      <c r="I67" s="53"/>
      <c r="J67" s="53"/>
      <c r="K67" s="53"/>
      <c r="L67" s="53"/>
      <c r="M67" s="53"/>
      <c r="N67" s="53"/>
      <c r="O67" s="54" t="s">
        <v>1</v>
      </c>
      <c r="P67" s="7"/>
      <c r="Q67" s="7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ht="15">
      <c r="A68" s="58" t="s">
        <v>100</v>
      </c>
      <c r="B68" s="31">
        <v>2023</v>
      </c>
      <c r="C68" s="209">
        <v>68.5</v>
      </c>
      <c r="D68" s="101">
        <v>680.4900866303647</v>
      </c>
      <c r="E68" s="53">
        <v>2041.470259891094</v>
      </c>
      <c r="F68" s="53"/>
      <c r="G68" s="100"/>
      <c r="H68" s="53"/>
      <c r="I68" s="53"/>
      <c r="J68" s="53"/>
      <c r="K68" s="53"/>
      <c r="L68" s="53"/>
      <c r="M68" s="53"/>
      <c r="N68" s="53"/>
      <c r="O68" s="54" t="s">
        <v>1</v>
      </c>
      <c r="P68" s="7"/>
      <c r="Q68" s="7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ht="15">
      <c r="A69" s="58" t="s">
        <v>101</v>
      </c>
      <c r="B69" s="31">
        <v>2023</v>
      </c>
      <c r="C69" s="209">
        <v>68.75</v>
      </c>
      <c r="D69" s="101">
        <v>683.7224145418589</v>
      </c>
      <c r="E69" s="53">
        <v>2051.1672436255767</v>
      </c>
      <c r="F69" s="53">
        <v>8146.670227046484</v>
      </c>
      <c r="G69" s="100"/>
      <c r="H69" s="53">
        <v>8146.670227046484</v>
      </c>
      <c r="I69" s="53"/>
      <c r="J69" s="53">
        <v>8146.670227046484</v>
      </c>
      <c r="K69" s="53">
        <v>30150.96314854392</v>
      </c>
      <c r="L69" s="53">
        <v>86333.88998705156</v>
      </c>
      <c r="M69" s="53">
        <v>0</v>
      </c>
      <c r="N69" s="53">
        <v>0</v>
      </c>
      <c r="O69" s="54">
        <v>0</v>
      </c>
      <c r="P69" s="7"/>
      <c r="Q69" s="7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ht="15">
      <c r="A70" s="210" t="s">
        <v>102</v>
      </c>
      <c r="B70" s="31">
        <v>2024</v>
      </c>
      <c r="C70" s="209">
        <v>69</v>
      </c>
      <c r="D70" s="101">
        <v>686.9700960109328</v>
      </c>
      <c r="E70" s="53">
        <v>2060.9102880327982</v>
      </c>
      <c r="F70" s="53"/>
      <c r="G70" s="100"/>
      <c r="H70" s="53"/>
      <c r="I70" s="53"/>
      <c r="J70" s="53"/>
      <c r="K70" s="53"/>
      <c r="L70" s="53"/>
      <c r="M70" s="53"/>
      <c r="N70" s="53"/>
      <c r="O70" s="54" t="s">
        <v>1</v>
      </c>
      <c r="P70" s="7"/>
      <c r="Q70" s="7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ht="15">
      <c r="A71" s="58" t="s">
        <v>99</v>
      </c>
      <c r="B71" s="31">
        <v>2024</v>
      </c>
      <c r="C71" s="209">
        <v>69.25</v>
      </c>
      <c r="D71" s="101">
        <v>690.2332039669848</v>
      </c>
      <c r="E71" s="53">
        <v>2070.6996119009546</v>
      </c>
      <c r="F71" s="53"/>
      <c r="G71" s="100"/>
      <c r="H71" s="53"/>
      <c r="I71" s="53"/>
      <c r="J71" s="53"/>
      <c r="K71" s="53"/>
      <c r="L71" s="53"/>
      <c r="M71" s="53"/>
      <c r="N71" s="53"/>
      <c r="O71" s="54" t="s">
        <v>1</v>
      </c>
      <c r="P71" s="7"/>
      <c r="Q71" s="7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ht="15">
      <c r="A72" s="58" t="s">
        <v>100</v>
      </c>
      <c r="B72" s="31">
        <v>2024</v>
      </c>
      <c r="C72" s="209">
        <v>69.5</v>
      </c>
      <c r="D72" s="101">
        <v>693.511811685828</v>
      </c>
      <c r="E72" s="53">
        <v>2080.535435057484</v>
      </c>
      <c r="F72" s="53"/>
      <c r="G72" s="100"/>
      <c r="H72" s="53"/>
      <c r="I72" s="53"/>
      <c r="J72" s="53"/>
      <c r="K72" s="53"/>
      <c r="L72" s="53"/>
      <c r="M72" s="53"/>
      <c r="N72" s="53"/>
      <c r="O72" s="54" t="s">
        <v>1</v>
      </c>
      <c r="P72" s="7"/>
      <c r="Q72" s="7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ht="15">
      <c r="A73" s="58" t="s">
        <v>101</v>
      </c>
      <c r="B73" s="31">
        <v>2024</v>
      </c>
      <c r="C73" s="209">
        <v>69.75</v>
      </c>
      <c r="D73" s="101">
        <v>696.8059927913357</v>
      </c>
      <c r="E73" s="53">
        <v>2090.4179783740074</v>
      </c>
      <c r="F73" s="53">
        <v>8302.563313365245</v>
      </c>
      <c r="G73" s="100"/>
      <c r="H73" s="53">
        <v>8302.563313365245</v>
      </c>
      <c r="I73" s="53"/>
      <c r="J73" s="53">
        <v>8302.563313365245</v>
      </c>
      <c r="K73" s="53">
        <v>48683.58519927574</v>
      </c>
      <c r="L73" s="53">
        <v>87974.23389680553</v>
      </c>
      <c r="M73" s="53">
        <v>0</v>
      </c>
      <c r="N73" s="53">
        <v>0</v>
      </c>
      <c r="O73" s="54">
        <v>0</v>
      </c>
      <c r="P73" s="7"/>
      <c r="Q73" s="7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ht="15">
      <c r="A74" s="210" t="s">
        <v>102</v>
      </c>
      <c r="B74" s="31">
        <v>2025</v>
      </c>
      <c r="C74" s="209">
        <v>70</v>
      </c>
      <c r="D74" s="101">
        <v>700.1158212570946</v>
      </c>
      <c r="E74" s="53">
        <v>2100.347463771284</v>
      </c>
      <c r="F74" s="53"/>
      <c r="G74" s="100"/>
      <c r="H74" s="53"/>
      <c r="I74" s="53"/>
      <c r="J74" s="53"/>
      <c r="K74" s="53"/>
      <c r="L74" s="53"/>
      <c r="M74" s="53"/>
      <c r="N74" s="53"/>
      <c r="O74" s="54" t="s">
        <v>1</v>
      </c>
      <c r="P74" s="7"/>
      <c r="Q74" s="7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ht="15">
      <c r="A75" s="58" t="s">
        <v>99</v>
      </c>
      <c r="B75" s="31">
        <v>2025</v>
      </c>
      <c r="C75" s="209">
        <v>70.25</v>
      </c>
      <c r="D75" s="101">
        <v>703.4413714080658</v>
      </c>
      <c r="E75" s="53">
        <v>2110.3241142241977</v>
      </c>
      <c r="F75" s="53"/>
      <c r="G75" s="100"/>
      <c r="H75" s="53"/>
      <c r="I75" s="53"/>
      <c r="J75" s="53"/>
      <c r="K75" s="53"/>
      <c r="L75" s="53"/>
      <c r="M75" s="53"/>
      <c r="N75" s="53"/>
      <c r="O75" s="54" t="s">
        <v>1</v>
      </c>
      <c r="P75" s="7"/>
      <c r="Q75" s="7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ht="15">
      <c r="A76" s="58" t="s">
        <v>100</v>
      </c>
      <c r="B76" s="31">
        <v>2025</v>
      </c>
      <c r="C76" s="209">
        <v>70.5</v>
      </c>
      <c r="D76" s="101">
        <v>706.7827179222542</v>
      </c>
      <c r="E76" s="53">
        <v>2120.3481537667626</v>
      </c>
      <c r="F76" s="53"/>
      <c r="G76" s="100"/>
      <c r="H76" s="53"/>
      <c r="I76" s="53"/>
      <c r="J76" s="53"/>
      <c r="K76" s="53"/>
      <c r="L76" s="53"/>
      <c r="M76" s="53"/>
      <c r="N76" s="53"/>
      <c r="O76" s="54" t="s">
        <v>1</v>
      </c>
      <c r="P76" s="7"/>
      <c r="Q76" s="7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ht="15">
      <c r="A77" s="58" t="s">
        <v>101</v>
      </c>
      <c r="B77" s="31">
        <v>2025</v>
      </c>
      <c r="C77" s="209">
        <v>70.75</v>
      </c>
      <c r="D77" s="101">
        <v>710.1399358323849</v>
      </c>
      <c r="E77" s="53">
        <v>2130.4198074971546</v>
      </c>
      <c r="F77" s="53">
        <v>8461.439539259398</v>
      </c>
      <c r="G77" s="100"/>
      <c r="H77" s="53">
        <v>8461.439539259398</v>
      </c>
      <c r="I77" s="53"/>
      <c r="J77" s="53">
        <v>8461.439539259398</v>
      </c>
      <c r="K77" s="53">
        <v>31225.747037000732</v>
      </c>
      <c r="L77" s="53">
        <v>89645.74434084482</v>
      </c>
      <c r="M77" s="53">
        <v>0</v>
      </c>
      <c r="N77" s="53">
        <v>0</v>
      </c>
      <c r="O77" s="54">
        <v>0</v>
      </c>
      <c r="P77" s="7"/>
      <c r="Q77" s="7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ht="15">
      <c r="A78" s="210" t="s">
        <v>102</v>
      </c>
      <c r="B78" s="31">
        <v>2026</v>
      </c>
      <c r="C78" s="209">
        <v>71</v>
      </c>
      <c r="D78" s="101">
        <v>713.5131005275888</v>
      </c>
      <c r="E78" s="53">
        <v>2140.5393015827663</v>
      </c>
      <c r="F78" s="53"/>
      <c r="G78" s="100"/>
      <c r="H78" s="53"/>
      <c r="I78" s="53"/>
      <c r="J78" s="53"/>
      <c r="K78" s="53"/>
      <c r="L78" s="53"/>
      <c r="M78" s="53"/>
      <c r="N78" s="53"/>
      <c r="O78" s="54" t="s">
        <v>1</v>
      </c>
      <c r="P78" s="7"/>
      <c r="Q78" s="7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ht="15">
      <c r="A79" s="58" t="s">
        <v>99</v>
      </c>
      <c r="B79" s="31">
        <v>2026</v>
      </c>
      <c r="C79" s="209">
        <v>71.25</v>
      </c>
      <c r="D79" s="101">
        <v>716.9022877550949</v>
      </c>
      <c r="E79" s="53">
        <v>2150.7068632652845</v>
      </c>
      <c r="F79" s="53"/>
      <c r="G79" s="100"/>
      <c r="H79" s="53"/>
      <c r="I79" s="53"/>
      <c r="J79" s="53"/>
      <c r="K79" s="53"/>
      <c r="L79" s="53"/>
      <c r="M79" s="53"/>
      <c r="N79" s="53"/>
      <c r="O79" s="54" t="s">
        <v>1</v>
      </c>
      <c r="P79" s="7"/>
      <c r="Q79" s="7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ht="15">
      <c r="A80" s="58" t="s">
        <v>100</v>
      </c>
      <c r="B80" s="31">
        <v>2026</v>
      </c>
      <c r="C80" s="209">
        <v>71.5</v>
      </c>
      <c r="D80" s="101">
        <v>720.3075736219316</v>
      </c>
      <c r="E80" s="53">
        <v>2160.922720865795</v>
      </c>
      <c r="F80" s="53"/>
      <c r="G80" s="100"/>
      <c r="H80" s="53"/>
      <c r="I80" s="53"/>
      <c r="J80" s="53"/>
      <c r="K80" s="53"/>
      <c r="L80" s="53"/>
      <c r="M80" s="53"/>
      <c r="N80" s="53"/>
      <c r="O80" s="54" t="s">
        <v>1</v>
      </c>
      <c r="P80" s="7"/>
      <c r="Q80" s="7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ht="15">
      <c r="A81" s="58" t="s">
        <v>101</v>
      </c>
      <c r="B81" s="31">
        <v>2026</v>
      </c>
      <c r="C81" s="209">
        <v>71.75</v>
      </c>
      <c r="D81" s="101">
        <v>723.7290345966359</v>
      </c>
      <c r="E81" s="53">
        <v>2171.1871037899077</v>
      </c>
      <c r="F81" s="53">
        <v>8623.355989503754</v>
      </c>
      <c r="G81" s="100"/>
      <c r="H81" s="53">
        <v>8623.355989503754</v>
      </c>
      <c r="I81" s="53"/>
      <c r="J81" s="53">
        <v>8623.355989503754</v>
      </c>
      <c r="K81" s="53">
        <v>32205.175954096638</v>
      </c>
      <c r="L81" s="53">
        <v>91349.01348332086</v>
      </c>
      <c r="M81" s="53">
        <v>0</v>
      </c>
      <c r="N81" s="53">
        <v>0</v>
      </c>
      <c r="O81" s="54">
        <v>0</v>
      </c>
      <c r="P81" s="7"/>
      <c r="Q81" s="7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ht="15">
      <c r="A82" s="210" t="s">
        <v>102</v>
      </c>
      <c r="B82" s="31">
        <v>2027</v>
      </c>
      <c r="C82" s="209">
        <v>72</v>
      </c>
      <c r="D82" s="101">
        <v>727.1667475109699</v>
      </c>
      <c r="E82" s="53">
        <v>2181.50024253291</v>
      </c>
      <c r="F82" s="53"/>
      <c r="G82" s="100"/>
      <c r="H82" s="53"/>
      <c r="I82" s="53"/>
      <c r="J82" s="53"/>
      <c r="K82" s="53"/>
      <c r="L82" s="53"/>
      <c r="M82" s="53"/>
      <c r="N82" s="53"/>
      <c r="O82" s="54" t="s">
        <v>1</v>
      </c>
      <c r="P82" s="7"/>
      <c r="Q82" s="7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ht="15">
      <c r="A83" s="58" t="s">
        <v>99</v>
      </c>
      <c r="B83" s="31">
        <v>2027</v>
      </c>
      <c r="C83" s="209">
        <v>72.25</v>
      </c>
      <c r="D83" s="101">
        <v>730.620789561647</v>
      </c>
      <c r="E83" s="53">
        <v>2191.862368684941</v>
      </c>
      <c r="F83" s="53"/>
      <c r="G83" s="100"/>
      <c r="H83" s="53"/>
      <c r="I83" s="53"/>
      <c r="J83" s="53"/>
      <c r="K83" s="53"/>
      <c r="L83" s="53"/>
      <c r="M83" s="53"/>
      <c r="N83" s="53"/>
      <c r="O83" s="54" t="s">
        <v>1</v>
      </c>
      <c r="P83" s="7"/>
      <c r="Q83" s="7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ht="15">
      <c r="A84" s="58" t="s">
        <v>100</v>
      </c>
      <c r="B84" s="31">
        <v>2027</v>
      </c>
      <c r="C84" s="209">
        <v>72.5</v>
      </c>
      <c r="D84" s="101">
        <v>734.0912383120649</v>
      </c>
      <c r="E84" s="53">
        <v>2202.2737149361947</v>
      </c>
      <c r="F84" s="53"/>
      <c r="G84" s="100"/>
      <c r="H84" s="53"/>
      <c r="I84" s="53"/>
      <c r="J84" s="53"/>
      <c r="K84" s="53"/>
      <c r="L84" s="53"/>
      <c r="M84" s="53"/>
      <c r="N84" s="53"/>
      <c r="O84" s="54" t="s">
        <v>1</v>
      </c>
      <c r="P84" s="7"/>
      <c r="Q84" s="7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ht="15">
      <c r="A85" s="58" t="s">
        <v>101</v>
      </c>
      <c r="B85" s="31">
        <v>2027</v>
      </c>
      <c r="C85" s="209">
        <v>72.75</v>
      </c>
      <c r="D85" s="101">
        <v>737.5781716940472</v>
      </c>
      <c r="E85" s="53">
        <v>2212.7345150821416</v>
      </c>
      <c r="F85" s="53">
        <v>8788.370841236187</v>
      </c>
      <c r="G85" s="100"/>
      <c r="H85" s="53">
        <v>8788.370841236187</v>
      </c>
      <c r="I85" s="53"/>
      <c r="J85" s="53">
        <v>8788.370841236187</v>
      </c>
      <c r="K85" s="53">
        <v>37397.22041459551</v>
      </c>
      <c r="L85" s="53">
        <v>93084.64473950394</v>
      </c>
      <c r="M85" s="53">
        <v>0</v>
      </c>
      <c r="N85" s="53">
        <v>0</v>
      </c>
      <c r="O85" s="54">
        <v>0</v>
      </c>
      <c r="P85" s="7"/>
      <c r="Q85" s="7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ht="15">
      <c r="A86" s="210" t="s">
        <v>102</v>
      </c>
      <c r="B86" s="31">
        <v>2028</v>
      </c>
      <c r="C86" s="209">
        <v>73</v>
      </c>
      <c r="D86" s="101">
        <v>741.081668009594</v>
      </c>
      <c r="E86" s="53">
        <v>2223.2450040287818</v>
      </c>
      <c r="F86" s="53"/>
      <c r="G86" s="100"/>
      <c r="H86" s="53"/>
      <c r="I86" s="53"/>
      <c r="J86" s="53"/>
      <c r="K86" s="53"/>
      <c r="L86" s="53"/>
      <c r="M86" s="53"/>
      <c r="N86" s="53"/>
      <c r="O86" s="54" t="s">
        <v>1</v>
      </c>
      <c r="P86" s="7"/>
      <c r="Q86" s="7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ht="15">
      <c r="A87" s="58" t="s">
        <v>99</v>
      </c>
      <c r="B87" s="31">
        <v>2028</v>
      </c>
      <c r="C87" s="209">
        <v>73.25</v>
      </c>
      <c r="D87" s="101">
        <v>744.6018059326395</v>
      </c>
      <c r="E87" s="53">
        <v>2233.8054177979184</v>
      </c>
      <c r="F87" s="53"/>
      <c r="G87" s="100"/>
      <c r="H87" s="53"/>
      <c r="I87" s="53"/>
      <c r="J87" s="53"/>
      <c r="K87" s="53"/>
      <c r="L87" s="53"/>
      <c r="M87" s="53"/>
      <c r="N87" s="53"/>
      <c r="O87" s="54" t="s">
        <v>1</v>
      </c>
      <c r="P87" s="7"/>
      <c r="Q87" s="7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ht="15">
      <c r="A88" s="58" t="s">
        <v>100</v>
      </c>
      <c r="B88" s="31">
        <v>2028</v>
      </c>
      <c r="C88" s="209">
        <v>73.5</v>
      </c>
      <c r="D88" s="101">
        <v>748.1386645108196</v>
      </c>
      <c r="E88" s="53">
        <v>2244.4159935324587</v>
      </c>
      <c r="F88" s="53"/>
      <c r="G88" s="100"/>
      <c r="H88" s="53"/>
      <c r="I88" s="53"/>
      <c r="J88" s="53"/>
      <c r="K88" s="53"/>
      <c r="L88" s="53"/>
      <c r="M88" s="53"/>
      <c r="N88" s="53"/>
      <c r="O88" s="54" t="s">
        <v>1</v>
      </c>
      <c r="P88" s="7"/>
      <c r="Q88" s="7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ht="15">
      <c r="A89" s="58" t="s">
        <v>101</v>
      </c>
      <c r="B89" s="31">
        <v>2028</v>
      </c>
      <c r="C89" s="209">
        <v>73.75</v>
      </c>
      <c r="D89" s="101">
        <v>751.692323167246</v>
      </c>
      <c r="E89" s="53">
        <v>2255.076969501738</v>
      </c>
      <c r="F89" s="53">
        <v>8956.543384860895</v>
      </c>
      <c r="G89" s="100"/>
      <c r="H89" s="53">
        <v>8956.543384860895</v>
      </c>
      <c r="I89" s="53"/>
      <c r="J89" s="53">
        <v>8956.543384860895</v>
      </c>
      <c r="K89" s="53">
        <v>37827.05776524837</v>
      </c>
      <c r="L89" s="53">
        <v>94853.25298955452</v>
      </c>
      <c r="M89" s="53">
        <v>0</v>
      </c>
      <c r="N89" s="53">
        <v>0</v>
      </c>
      <c r="O89" s="54">
        <v>0</v>
      </c>
      <c r="P89" s="7"/>
      <c r="Q89" s="7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ht="15">
      <c r="A90" s="210" t="s">
        <v>102</v>
      </c>
      <c r="B90" s="31">
        <v>2029</v>
      </c>
      <c r="C90" s="209">
        <v>74</v>
      </c>
      <c r="D90" s="101">
        <v>755.2628617022904</v>
      </c>
      <c r="E90" s="53">
        <v>2265.7885851068713</v>
      </c>
      <c r="F90" s="53"/>
      <c r="G90" s="100"/>
      <c r="H90" s="53"/>
      <c r="I90" s="53"/>
      <c r="J90" s="53"/>
      <c r="K90" s="53"/>
      <c r="L90" s="53"/>
      <c r="M90" s="53"/>
      <c r="N90" s="53"/>
      <c r="O90" s="54" t="s">
        <v>1</v>
      </c>
      <c r="P90" s="7"/>
      <c r="Q90" s="7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ht="15">
      <c r="A91" s="58" t="s">
        <v>99</v>
      </c>
      <c r="B91" s="31">
        <v>2029</v>
      </c>
      <c r="C91" s="209">
        <v>74.25</v>
      </c>
      <c r="D91" s="101">
        <v>758.8503602953763</v>
      </c>
      <c r="E91" s="53">
        <v>2276.551080886129</v>
      </c>
      <c r="F91" s="53"/>
      <c r="G91" s="100"/>
      <c r="H91" s="53"/>
      <c r="I91" s="53"/>
      <c r="J91" s="53"/>
      <c r="K91" s="53"/>
      <c r="L91" s="53"/>
      <c r="M91" s="53"/>
      <c r="N91" s="53"/>
      <c r="O91" s="54" t="s">
        <v>1</v>
      </c>
      <c r="P91" s="7"/>
      <c r="Q91" s="7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46" ht="15">
      <c r="A92" s="58" t="s">
        <v>100</v>
      </c>
      <c r="B92" s="31">
        <v>2029</v>
      </c>
      <c r="C92" s="209">
        <v>74.5</v>
      </c>
      <c r="D92" s="101">
        <v>762.4548995067794</v>
      </c>
      <c r="E92" s="53">
        <v>2287.364698520338</v>
      </c>
      <c r="F92" s="53"/>
      <c r="G92" s="100"/>
      <c r="H92" s="53"/>
      <c r="I92" s="53"/>
      <c r="J92" s="53"/>
      <c r="K92" s="53"/>
      <c r="L92" s="53"/>
      <c r="M92" s="53"/>
      <c r="N92" s="53"/>
      <c r="O92" s="54" t="s">
        <v>1</v>
      </c>
      <c r="P92" s="7"/>
      <c r="Q92" s="7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:46" ht="15">
      <c r="A93" s="58" t="s">
        <v>101</v>
      </c>
      <c r="B93" s="31">
        <v>2029</v>
      </c>
      <c r="C93" s="209">
        <v>74.75</v>
      </c>
      <c r="D93" s="101">
        <v>766.0765602794366</v>
      </c>
      <c r="E93" s="53">
        <v>2298.22968083831</v>
      </c>
      <c r="F93" s="53">
        <v>9127.934045351649</v>
      </c>
      <c r="G93" s="100"/>
      <c r="H93" s="53">
        <v>9127.934045351649</v>
      </c>
      <c r="I93" s="53"/>
      <c r="J93" s="53">
        <v>9127.934045351649</v>
      </c>
      <c r="K93" s="53">
        <v>38270.584148263115</v>
      </c>
      <c r="L93" s="53">
        <v>96655.46479635604</v>
      </c>
      <c r="M93" s="53">
        <v>0</v>
      </c>
      <c r="N93" s="53">
        <v>0</v>
      </c>
      <c r="O93" s="54">
        <v>0</v>
      </c>
      <c r="P93" s="7"/>
      <c r="Q93" s="7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:46" ht="15">
      <c r="A94" s="210" t="s">
        <v>102</v>
      </c>
      <c r="B94" s="31">
        <v>2030</v>
      </c>
      <c r="C94" s="209">
        <v>75</v>
      </c>
      <c r="D94" s="101">
        <v>769.715423940764</v>
      </c>
      <c r="E94" s="53">
        <v>2309.146271822292</v>
      </c>
      <c r="F94" s="53"/>
      <c r="G94" s="100"/>
      <c r="H94" s="53"/>
      <c r="I94" s="53"/>
      <c r="J94" s="53"/>
      <c r="K94" s="53"/>
      <c r="L94" s="53"/>
      <c r="M94" s="53"/>
      <c r="N94" s="53"/>
      <c r="O94" s="54" t="s">
        <v>1</v>
      </c>
      <c r="P94" s="7"/>
      <c r="Q94" s="7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:46" ht="15">
      <c r="A95" s="58" t="s">
        <v>99</v>
      </c>
      <c r="B95" s="31">
        <v>2030</v>
      </c>
      <c r="C95" s="209">
        <v>75.25</v>
      </c>
      <c r="D95" s="101">
        <v>773.3715722044827</v>
      </c>
      <c r="E95" s="53">
        <v>2320.1147166134483</v>
      </c>
      <c r="F95" s="53"/>
      <c r="G95" s="100"/>
      <c r="H95" s="53"/>
      <c r="I95" s="53"/>
      <c r="J95" s="53"/>
      <c r="K95" s="53"/>
      <c r="L95" s="53"/>
      <c r="M95" s="53"/>
      <c r="N95" s="53"/>
      <c r="O95" s="54" t="s">
        <v>1</v>
      </c>
      <c r="P95" s="7"/>
      <c r="Q95" s="7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:46" ht="15">
      <c r="A96" s="58" t="s">
        <v>100</v>
      </c>
      <c r="B96" s="31">
        <v>2030</v>
      </c>
      <c r="C96" s="209">
        <v>75.5</v>
      </c>
      <c r="D96" s="101">
        <v>777.045087172454</v>
      </c>
      <c r="E96" s="53">
        <v>2331.135261517362</v>
      </c>
      <c r="F96" s="53"/>
      <c r="G96" s="100"/>
      <c r="H96" s="53"/>
      <c r="I96" s="53"/>
      <c r="J96" s="53"/>
      <c r="K96" s="53"/>
      <c r="L96" s="53"/>
      <c r="M96" s="53"/>
      <c r="N96" s="53"/>
      <c r="O96" s="54" t="s">
        <v>1</v>
      </c>
      <c r="P96" s="7"/>
      <c r="Q96" s="7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:46" ht="15">
      <c r="A97" s="58" t="s">
        <v>101</v>
      </c>
      <c r="B97" s="31">
        <v>2030</v>
      </c>
      <c r="C97" s="209">
        <v>75.75</v>
      </c>
      <c r="D97" s="101">
        <v>780.7360513365232</v>
      </c>
      <c r="E97" s="53">
        <v>2342.2081540095696</v>
      </c>
      <c r="F97" s="53">
        <v>9302.604403962672</v>
      </c>
      <c r="G97" s="100"/>
      <c r="H97" s="53">
        <v>9302.604403962672</v>
      </c>
      <c r="I97" s="53"/>
      <c r="J97" s="53">
        <v>9302.604403962672</v>
      </c>
      <c r="K97" s="53">
        <v>38733.194938230095</v>
      </c>
      <c r="L97" s="53">
        <v>98491.9186274868</v>
      </c>
      <c r="M97" s="53">
        <v>0</v>
      </c>
      <c r="N97" s="53">
        <v>0</v>
      </c>
      <c r="O97" s="54">
        <v>0</v>
      </c>
      <c r="P97" s="7"/>
      <c r="Q97" s="7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:46" ht="15">
      <c r="A98" s="210" t="s">
        <v>102</v>
      </c>
      <c r="B98" s="31">
        <v>2031</v>
      </c>
      <c r="C98" s="209">
        <v>76</v>
      </c>
      <c r="D98" s="101">
        <v>784.4445475803717</v>
      </c>
      <c r="E98" s="53">
        <v>2353.333642741115</v>
      </c>
      <c r="F98" s="53"/>
      <c r="G98" s="100"/>
      <c r="H98" s="53"/>
      <c r="I98" s="53"/>
      <c r="J98" s="53"/>
      <c r="K98" s="53"/>
      <c r="L98" s="53"/>
      <c r="M98" s="53"/>
      <c r="N98" s="53"/>
      <c r="O98" s="54" t="s">
        <v>1</v>
      </c>
      <c r="P98" s="7"/>
      <c r="Q98" s="7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:46" ht="15">
      <c r="A99" s="58" t="s">
        <v>99</v>
      </c>
      <c r="B99" s="31">
        <v>2031</v>
      </c>
      <c r="C99" s="209">
        <v>76.25</v>
      </c>
      <c r="D99" s="101">
        <v>788.1706591813785</v>
      </c>
      <c r="E99" s="53">
        <v>2364.5119775441353</v>
      </c>
      <c r="F99" s="53"/>
      <c r="G99" s="100"/>
      <c r="H99" s="53"/>
      <c r="I99" s="53"/>
      <c r="J99" s="53"/>
      <c r="K99" s="53"/>
      <c r="L99" s="53"/>
      <c r="M99" s="53"/>
      <c r="N99" s="53"/>
      <c r="O99" s="54" t="s">
        <v>1</v>
      </c>
      <c r="P99" s="7"/>
      <c r="Q99" s="7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:46" ht="15">
      <c r="A100" s="58" t="s">
        <v>100</v>
      </c>
      <c r="B100" s="31">
        <v>2031</v>
      </c>
      <c r="C100" s="209">
        <v>76.5</v>
      </c>
      <c r="D100" s="101">
        <v>791.9144698124901</v>
      </c>
      <c r="E100" s="53">
        <v>2375.7434094374703</v>
      </c>
      <c r="F100" s="53"/>
      <c r="G100" s="100"/>
      <c r="H100" s="53"/>
      <c r="I100" s="53"/>
      <c r="J100" s="53"/>
      <c r="K100" s="53"/>
      <c r="L100" s="53"/>
      <c r="M100" s="53"/>
      <c r="N100" s="53"/>
      <c r="O100" s="54" t="s">
        <v>1</v>
      </c>
      <c r="P100" s="7"/>
      <c r="Q100" s="7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:46" ht="15">
      <c r="A101" s="58" t="s">
        <v>101</v>
      </c>
      <c r="B101" s="31">
        <v>2031</v>
      </c>
      <c r="C101" s="209">
        <v>76.75</v>
      </c>
      <c r="D101" s="101">
        <v>795.6760635440994</v>
      </c>
      <c r="E101" s="53">
        <v>2387.028190632298</v>
      </c>
      <c r="F101" s="53">
        <v>9480.61722035502</v>
      </c>
      <c r="G101" s="100"/>
      <c r="H101" s="53">
        <v>9480.61722035502</v>
      </c>
      <c r="I101" s="53"/>
      <c r="J101" s="53">
        <v>9480.61722035502</v>
      </c>
      <c r="K101" s="53">
        <v>39201.453609843404</v>
      </c>
      <c r="L101" s="53">
        <v>100363.26508140903</v>
      </c>
      <c r="M101" s="53">
        <v>0</v>
      </c>
      <c r="N101" s="53">
        <v>0</v>
      </c>
      <c r="O101" s="54">
        <v>0</v>
      </c>
      <c r="P101" s="7"/>
      <c r="Q101" s="7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:46" ht="15">
      <c r="A102" s="210" t="s">
        <v>102</v>
      </c>
      <c r="B102" s="31">
        <v>2032</v>
      </c>
      <c r="C102" s="209">
        <v>77</v>
      </c>
      <c r="D102" s="101">
        <v>799.455524845934</v>
      </c>
      <c r="E102" s="53">
        <v>2398.366574537802</v>
      </c>
      <c r="F102" s="53"/>
      <c r="G102" s="100"/>
      <c r="H102" s="53"/>
      <c r="I102" s="53"/>
      <c r="J102" s="53"/>
      <c r="K102" s="53"/>
      <c r="L102" s="53"/>
      <c r="M102" s="53"/>
      <c r="N102" s="53"/>
      <c r="O102" s="54" t="s">
        <v>1</v>
      </c>
      <c r="P102" s="7"/>
      <c r="Q102" s="7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:46" ht="15">
      <c r="A103" s="58" t="s">
        <v>99</v>
      </c>
      <c r="B103" s="31">
        <v>2032</v>
      </c>
      <c r="C103" s="209">
        <v>77.25</v>
      </c>
      <c r="D103" s="101">
        <v>803.2529385889521</v>
      </c>
      <c r="E103" s="53">
        <v>2409.7588157668565</v>
      </c>
      <c r="F103" s="53"/>
      <c r="G103" s="100"/>
      <c r="H103" s="53"/>
      <c r="I103" s="53"/>
      <c r="J103" s="53"/>
      <c r="K103" s="53"/>
      <c r="L103" s="53"/>
      <c r="M103" s="53"/>
      <c r="N103" s="53"/>
      <c r="O103" s="54" t="s">
        <v>1</v>
      </c>
      <c r="P103" s="7"/>
      <c r="Q103" s="7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:46" ht="15">
      <c r="A104" s="58" t="s">
        <v>100</v>
      </c>
      <c r="B104" s="31">
        <v>2032</v>
      </c>
      <c r="C104" s="209">
        <v>77.5</v>
      </c>
      <c r="D104" s="101">
        <v>807.0683900472496</v>
      </c>
      <c r="E104" s="53">
        <v>2421.205170141749</v>
      </c>
      <c r="F104" s="53"/>
      <c r="G104" s="100"/>
      <c r="H104" s="53"/>
      <c r="I104" s="53"/>
      <c r="J104" s="53"/>
      <c r="K104" s="53"/>
      <c r="L104" s="53"/>
      <c r="M104" s="53"/>
      <c r="N104" s="53"/>
      <c r="O104" s="54" t="s">
        <v>1</v>
      </c>
      <c r="P104" s="7"/>
      <c r="Q104" s="7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:46" ht="15">
      <c r="A105" s="58" t="s">
        <v>101</v>
      </c>
      <c r="B105" s="31">
        <v>2032</v>
      </c>
      <c r="C105" s="209">
        <v>77.75</v>
      </c>
      <c r="D105" s="101">
        <v>810.9019648999741</v>
      </c>
      <c r="E105" s="53">
        <v>2432.7058946999223</v>
      </c>
      <c r="F105" s="53">
        <v>9662.03645514633</v>
      </c>
      <c r="G105" s="100"/>
      <c r="H105" s="53">
        <v>9662.03645514633</v>
      </c>
      <c r="I105" s="53"/>
      <c r="J105" s="53">
        <v>9662.03645514633</v>
      </c>
      <c r="K105" s="53">
        <v>39687.21435930867</v>
      </c>
      <c r="L105" s="53">
        <v>102270.16711795579</v>
      </c>
      <c r="M105" s="53">
        <v>0</v>
      </c>
      <c r="N105" s="53">
        <v>0</v>
      </c>
      <c r="O105" s="54">
        <v>0</v>
      </c>
      <c r="P105" s="7"/>
      <c r="Q105" s="7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:46" ht="15">
      <c r="A106" s="210" t="s">
        <v>102</v>
      </c>
      <c r="B106" s="31">
        <v>2033</v>
      </c>
      <c r="C106" s="209">
        <v>78</v>
      </c>
      <c r="D106" s="101">
        <v>814.753749233249</v>
      </c>
      <c r="E106" s="53">
        <v>2444.261247699747</v>
      </c>
      <c r="F106" s="53"/>
      <c r="G106" s="100"/>
      <c r="H106" s="53"/>
      <c r="I106" s="53"/>
      <c r="J106" s="53"/>
      <c r="K106" s="53"/>
      <c r="L106" s="53"/>
      <c r="M106" s="53"/>
      <c r="N106" s="53"/>
      <c r="O106" s="54" t="s">
        <v>1</v>
      </c>
      <c r="P106" s="7"/>
      <c r="Q106" s="7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:46" ht="15">
      <c r="A107" s="58" t="s">
        <v>99</v>
      </c>
      <c r="B107" s="31">
        <v>2033</v>
      </c>
      <c r="C107" s="209">
        <v>78.25</v>
      </c>
      <c r="D107" s="101">
        <v>818.6238295421069</v>
      </c>
      <c r="E107" s="53">
        <v>2455.8714886263206</v>
      </c>
      <c r="F107" s="53"/>
      <c r="G107" s="100"/>
      <c r="H107" s="53"/>
      <c r="I107" s="53"/>
      <c r="J107" s="53"/>
      <c r="K107" s="53"/>
      <c r="L107" s="53"/>
      <c r="M107" s="53"/>
      <c r="N107" s="53"/>
      <c r="O107" s="54" t="s">
        <v>1</v>
      </c>
      <c r="P107" s="7"/>
      <c r="Q107" s="7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:46" ht="15">
      <c r="A108" s="58" t="s">
        <v>100</v>
      </c>
      <c r="B108" s="31">
        <v>2033</v>
      </c>
      <c r="C108" s="209">
        <v>78.5</v>
      </c>
      <c r="D108" s="101">
        <v>822.512292732432</v>
      </c>
      <c r="E108" s="53">
        <v>2467.536878197296</v>
      </c>
      <c r="F108" s="53"/>
      <c r="G108" s="100"/>
      <c r="H108" s="53"/>
      <c r="I108" s="53"/>
      <c r="J108" s="53"/>
      <c r="K108" s="53"/>
      <c r="L108" s="53"/>
      <c r="M108" s="53"/>
      <c r="N108" s="53"/>
      <c r="O108" s="54" t="s">
        <v>1</v>
      </c>
      <c r="P108" s="7"/>
      <c r="Q108" s="7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:46" ht="15">
      <c r="A109" s="58" t="s">
        <v>101</v>
      </c>
      <c r="B109" s="31">
        <v>2033</v>
      </c>
      <c r="C109" s="209">
        <v>78.75</v>
      </c>
      <c r="D109" s="101">
        <v>826.419226122911</v>
      </c>
      <c r="E109" s="53">
        <v>2479.257678368733</v>
      </c>
      <c r="F109" s="53">
        <v>9846.927292892096</v>
      </c>
      <c r="G109" s="100"/>
      <c r="H109" s="53">
        <v>9846.927292892096</v>
      </c>
      <c r="I109" s="53"/>
      <c r="J109" s="53">
        <v>9846.927292892096</v>
      </c>
      <c r="K109" s="53">
        <v>40188.8114938178</v>
      </c>
      <c r="L109" s="53">
        <v>104213.30029319694</v>
      </c>
      <c r="M109" s="53">
        <v>0</v>
      </c>
      <c r="N109" s="53">
        <v>0</v>
      </c>
      <c r="O109" s="54">
        <v>0</v>
      </c>
      <c r="P109" s="7"/>
      <c r="Q109" s="7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  <row r="110" spans="1:46" ht="15">
      <c r="A110" s="210" t="s">
        <v>102</v>
      </c>
      <c r="B110" s="31">
        <v>2034</v>
      </c>
      <c r="C110" s="209">
        <v>79</v>
      </c>
      <c r="D110" s="101">
        <v>830.3447174469949</v>
      </c>
      <c r="E110" s="53">
        <v>2491.0341523409847</v>
      </c>
      <c r="F110" s="53"/>
      <c r="G110" s="100"/>
      <c r="H110" s="53"/>
      <c r="I110" s="53"/>
      <c r="J110" s="53"/>
      <c r="K110" s="53"/>
      <c r="L110" s="53"/>
      <c r="M110" s="53"/>
      <c r="N110" s="53"/>
      <c r="O110" s="54" t="s">
        <v>1</v>
      </c>
      <c r="P110" s="7"/>
      <c r="Q110" s="7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:46" ht="15">
      <c r="A111" s="58" t="s">
        <v>99</v>
      </c>
      <c r="B111" s="31">
        <v>2034</v>
      </c>
      <c r="C111" s="209">
        <v>79.25</v>
      </c>
      <c r="D111" s="101">
        <v>834.2888548548681</v>
      </c>
      <c r="E111" s="53">
        <v>2502.8665645646042</v>
      </c>
      <c r="F111" s="53"/>
      <c r="G111" s="100"/>
      <c r="H111" s="53"/>
      <c r="I111" s="53"/>
      <c r="J111" s="53"/>
      <c r="K111" s="53"/>
      <c r="L111" s="53"/>
      <c r="M111" s="53"/>
      <c r="N111" s="53"/>
      <c r="O111" s="54" t="s">
        <v>1</v>
      </c>
      <c r="P111" s="7"/>
      <c r="Q111" s="7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2" spans="1:46" ht="15">
      <c r="A112" s="58" t="s">
        <v>100</v>
      </c>
      <c r="B112" s="31">
        <v>2034</v>
      </c>
      <c r="C112" s="209">
        <v>79.5</v>
      </c>
      <c r="D112" s="101">
        <v>838.2517269154288</v>
      </c>
      <c r="E112" s="53">
        <v>2514.7551807462864</v>
      </c>
      <c r="F112" s="53"/>
      <c r="G112" s="100"/>
      <c r="H112" s="53"/>
      <c r="I112" s="53"/>
      <c r="J112" s="53"/>
      <c r="K112" s="53"/>
      <c r="L112" s="53"/>
      <c r="M112" s="53"/>
      <c r="N112" s="53"/>
      <c r="O112" s="54" t="s">
        <v>1</v>
      </c>
      <c r="P112" s="7"/>
      <c r="Q112" s="7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</row>
    <row r="113" spans="1:46" ht="15">
      <c r="A113" s="58" t="s">
        <v>101</v>
      </c>
      <c r="B113" s="31">
        <v>2034</v>
      </c>
      <c r="C113" s="209">
        <v>79.75</v>
      </c>
      <c r="D113" s="101">
        <v>842.2334226182771</v>
      </c>
      <c r="E113" s="53">
        <v>2526.7002678548315</v>
      </c>
      <c r="F113" s="53">
        <v>10035.356165506706</v>
      </c>
      <c r="G113" s="100"/>
      <c r="H113" s="53">
        <v>10035.356165506706</v>
      </c>
      <c r="I113" s="53"/>
      <c r="J113" s="53">
        <v>10035.356165506706</v>
      </c>
      <c r="K113" s="53">
        <v>40704.73122981974</v>
      </c>
      <c r="L113" s="53">
        <v>106193.35299876767</v>
      </c>
      <c r="M113" s="53">
        <v>0</v>
      </c>
      <c r="N113" s="53">
        <v>0</v>
      </c>
      <c r="O113" s="54">
        <v>0</v>
      </c>
      <c r="P113" s="7"/>
      <c r="Q113" s="7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</row>
    <row r="114" spans="1:46" ht="15">
      <c r="A114" s="210" t="s">
        <v>102</v>
      </c>
      <c r="B114" s="31">
        <v>2035</v>
      </c>
      <c r="C114" s="209">
        <v>80</v>
      </c>
      <c r="D114" s="101">
        <v>846.2340313757139</v>
      </c>
      <c r="E114" s="53">
        <v>2538.7020941271417</v>
      </c>
      <c r="F114" s="53"/>
      <c r="G114" s="100"/>
      <c r="H114" s="53"/>
      <c r="I114" s="53"/>
      <c r="J114" s="53"/>
      <c r="K114" s="53"/>
      <c r="L114" s="53"/>
      <c r="M114" s="53"/>
      <c r="N114" s="53"/>
      <c r="O114" s="54"/>
      <c r="P114" s="7"/>
      <c r="Q114" s="7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</row>
    <row r="115" spans="1:46" ht="15">
      <c r="A115" s="58" t="s">
        <v>99</v>
      </c>
      <c r="B115" s="31">
        <v>2035</v>
      </c>
      <c r="C115" s="209">
        <v>80.25</v>
      </c>
      <c r="D115" s="101">
        <v>850.2536430247486</v>
      </c>
      <c r="E115" s="53">
        <v>2550.7609290742457</v>
      </c>
      <c r="F115" s="53"/>
      <c r="G115" s="100"/>
      <c r="H115" s="53"/>
      <c r="I115" s="53"/>
      <c r="J115" s="53"/>
      <c r="K115" s="53"/>
      <c r="L115" s="53"/>
      <c r="M115" s="53"/>
      <c r="N115" s="53"/>
      <c r="O115" s="54"/>
      <c r="P115" s="7"/>
      <c r="Q115" s="7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</row>
    <row r="116" spans="1:46" ht="15">
      <c r="A116" s="58" t="s">
        <v>100</v>
      </c>
      <c r="B116" s="31">
        <v>2035</v>
      </c>
      <c r="C116" s="209">
        <v>80.5</v>
      </c>
      <c r="D116" s="101">
        <v>854.2923478291162</v>
      </c>
      <c r="E116" s="53">
        <v>2562.8770434873486</v>
      </c>
      <c r="F116" s="53"/>
      <c r="G116" s="100"/>
      <c r="H116" s="53"/>
      <c r="I116" s="53"/>
      <c r="J116" s="53"/>
      <c r="K116" s="53"/>
      <c r="L116" s="53"/>
      <c r="M116" s="53"/>
      <c r="N116" s="53"/>
      <c r="O116" s="54"/>
      <c r="P116" s="7"/>
      <c r="Q116" s="7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</row>
    <row r="117" spans="1:46" ht="15">
      <c r="A117" s="58" t="s">
        <v>101</v>
      </c>
      <c r="B117" s="31">
        <v>2035</v>
      </c>
      <c r="C117" s="209">
        <v>80.75</v>
      </c>
      <c r="D117" s="101">
        <v>858.3502364813046</v>
      </c>
      <c r="E117" s="53">
        <v>2575.0507094439135</v>
      </c>
      <c r="F117" s="53">
        <v>10227.39077613265</v>
      </c>
      <c r="G117" s="100"/>
      <c r="H117" s="53">
        <v>10227.39077613265</v>
      </c>
      <c r="I117" s="53"/>
      <c r="J117" s="53">
        <v>10227.39077613265</v>
      </c>
      <c r="K117" s="53">
        <v>42733.61118517425</v>
      </c>
      <c r="L117" s="53">
        <v>108211.02670574425</v>
      </c>
      <c r="M117" s="53">
        <v>0</v>
      </c>
      <c r="N117" s="53">
        <v>0</v>
      </c>
      <c r="O117" s="54">
        <v>0</v>
      </c>
      <c r="P117" s="7"/>
      <c r="Q117" s="7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</row>
    <row r="118" spans="1:46" ht="15">
      <c r="A118" s="210" t="s">
        <v>102</v>
      </c>
      <c r="B118" s="31">
        <v>2036</v>
      </c>
      <c r="C118" s="209">
        <v>81</v>
      </c>
      <c r="D118" s="101">
        <v>862.4274001045908</v>
      </c>
      <c r="E118" s="53">
        <v>2587.2822003137726</v>
      </c>
      <c r="F118" s="53"/>
      <c r="G118" s="100"/>
      <c r="H118" s="53"/>
      <c r="I118" s="53"/>
      <c r="J118" s="53"/>
      <c r="K118" s="53"/>
      <c r="L118" s="53"/>
      <c r="M118" s="53"/>
      <c r="N118" s="53"/>
      <c r="O118" s="54"/>
      <c r="P118" s="7"/>
      <c r="Q118" s="7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</row>
    <row r="119" spans="1:46" ht="15">
      <c r="A119" s="58" t="s">
        <v>99</v>
      </c>
      <c r="B119" s="31">
        <v>2036</v>
      </c>
      <c r="C119" s="209">
        <v>81.25</v>
      </c>
      <c r="D119" s="101">
        <v>866.5239302550876</v>
      </c>
      <c r="E119" s="53">
        <v>2599.571790765263</v>
      </c>
      <c r="F119" s="53"/>
      <c r="G119" s="100"/>
      <c r="H119" s="53"/>
      <c r="I119" s="53"/>
      <c r="J119" s="53"/>
      <c r="K119" s="53"/>
      <c r="L119" s="53"/>
      <c r="M119" s="53"/>
      <c r="N119" s="53"/>
      <c r="O119" s="54"/>
      <c r="P119" s="7"/>
      <c r="Q119" s="7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</row>
    <row r="120" spans="1:46" ht="15">
      <c r="A120" s="58" t="s">
        <v>100</v>
      </c>
      <c r="B120" s="31">
        <v>2036</v>
      </c>
      <c r="C120" s="209">
        <v>81.5</v>
      </c>
      <c r="D120" s="101">
        <v>870.6399189237993</v>
      </c>
      <c r="E120" s="53">
        <v>2611.919756771398</v>
      </c>
      <c r="F120" s="53"/>
      <c r="G120" s="100"/>
      <c r="H120" s="53"/>
      <c r="I120" s="53"/>
      <c r="J120" s="53"/>
      <c r="K120" s="53"/>
      <c r="L120" s="53"/>
      <c r="M120" s="53"/>
      <c r="N120" s="53"/>
      <c r="O120" s="54"/>
      <c r="P120" s="7"/>
      <c r="Q120" s="7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</row>
    <row r="121" spans="1:46" ht="15">
      <c r="A121" s="58" t="s">
        <v>101</v>
      </c>
      <c r="B121" s="31">
        <v>2036</v>
      </c>
      <c r="C121" s="209">
        <v>81.75</v>
      </c>
      <c r="D121" s="101">
        <v>874.7754585386874</v>
      </c>
      <c r="E121" s="53">
        <v>2624.3263756160623</v>
      </c>
      <c r="F121" s="53">
        <v>10423.100123466495</v>
      </c>
      <c r="G121" s="100"/>
      <c r="H121" s="53">
        <v>10423.100123466495</v>
      </c>
      <c r="I121" s="53"/>
      <c r="J121" s="53">
        <v>10423.100123466495</v>
      </c>
      <c r="K121" s="53">
        <v>41639.39335734328</v>
      </c>
      <c r="L121" s="53">
        <v>110267.03621315339</v>
      </c>
      <c r="M121" s="53">
        <v>0</v>
      </c>
      <c r="N121" s="53">
        <v>0</v>
      </c>
      <c r="O121" s="54">
        <v>0</v>
      </c>
      <c r="P121" s="7"/>
      <c r="Q121" s="7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</row>
    <row r="122" spans="1:46" ht="15">
      <c r="A122" s="210" t="s">
        <v>102</v>
      </c>
      <c r="B122" s="31">
        <v>2037</v>
      </c>
      <c r="C122" s="209">
        <v>82</v>
      </c>
      <c r="D122" s="101">
        <v>878.9306419667462</v>
      </c>
      <c r="E122" s="53">
        <v>2636.7919259002383</v>
      </c>
      <c r="F122" s="53"/>
      <c r="G122" s="100"/>
      <c r="H122" s="53"/>
      <c r="I122" s="53"/>
      <c r="J122" s="53"/>
      <c r="K122" s="53"/>
      <c r="L122" s="53"/>
      <c r="M122" s="53"/>
      <c r="N122" s="53"/>
      <c r="O122" s="54"/>
      <c r="P122" s="7"/>
      <c r="Q122" s="7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</row>
    <row r="123" spans="1:46" ht="15">
      <c r="A123" s="58" t="s">
        <v>99</v>
      </c>
      <c r="B123" s="31">
        <v>2037</v>
      </c>
      <c r="C123" s="209">
        <v>82.25</v>
      </c>
      <c r="D123" s="101">
        <v>883.1055625160883</v>
      </c>
      <c r="E123" s="53">
        <v>2649.316687548265</v>
      </c>
      <c r="F123" s="53"/>
      <c r="G123" s="100"/>
      <c r="H123" s="53"/>
      <c r="I123" s="53"/>
      <c r="J123" s="53"/>
      <c r="K123" s="53"/>
      <c r="L123" s="53"/>
      <c r="M123" s="53"/>
      <c r="N123" s="53"/>
      <c r="O123" s="54"/>
      <c r="P123" s="7"/>
      <c r="Q123" s="7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</row>
    <row r="124" spans="1:46" ht="15">
      <c r="A124" s="58" t="s">
        <v>100</v>
      </c>
      <c r="B124" s="31">
        <v>2037</v>
      </c>
      <c r="C124" s="209">
        <v>82.5</v>
      </c>
      <c r="D124" s="101">
        <v>887.3003139380397</v>
      </c>
      <c r="E124" s="53">
        <v>2661.900941814119</v>
      </c>
      <c r="F124" s="53"/>
      <c r="G124" s="100"/>
      <c r="H124" s="53"/>
      <c r="I124" s="53"/>
      <c r="J124" s="53"/>
      <c r="K124" s="53"/>
      <c r="L124" s="53"/>
      <c r="M124" s="53"/>
      <c r="N124" s="53"/>
      <c r="O124" s="54"/>
      <c r="P124" s="7"/>
      <c r="Q124" s="7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</row>
    <row r="125" spans="1:46" ht="15">
      <c r="A125" s="58" t="s">
        <v>101</v>
      </c>
      <c r="B125" s="31">
        <v>2037</v>
      </c>
      <c r="C125" s="209">
        <v>82.75</v>
      </c>
      <c r="D125" s="101">
        <v>891.5149904292455</v>
      </c>
      <c r="E125" s="53">
        <v>2674.544971287736</v>
      </c>
      <c r="F125" s="53">
        <v>10622.554526550359</v>
      </c>
      <c r="G125" s="100"/>
      <c r="H125" s="53">
        <v>10622.554526550359</v>
      </c>
      <c r="I125" s="53"/>
      <c r="J125" s="53">
        <v>10622.554526550359</v>
      </c>
      <c r="K125" s="53">
        <v>42202.27591601491</v>
      </c>
      <c r="L125" s="53">
        <v>112362.1099012033</v>
      </c>
      <c r="M125" s="53">
        <v>0</v>
      </c>
      <c r="N125" s="53">
        <v>0</v>
      </c>
      <c r="O125" s="54">
        <v>0</v>
      </c>
      <c r="P125" s="7"/>
      <c r="Q125" s="7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:46" ht="15">
      <c r="A126" s="210" t="s">
        <v>102</v>
      </c>
      <c r="B126" s="31">
        <v>2038</v>
      </c>
      <c r="C126" s="209">
        <v>83</v>
      </c>
      <c r="D126" s="101">
        <v>895.7496866337844</v>
      </c>
      <c r="E126" s="53">
        <v>2687.2490599013536</v>
      </c>
      <c r="F126" s="53"/>
      <c r="G126" s="100"/>
      <c r="H126" s="53"/>
      <c r="I126" s="53"/>
      <c r="J126" s="53"/>
      <c r="K126" s="53"/>
      <c r="L126" s="53"/>
      <c r="M126" s="53"/>
      <c r="N126" s="53"/>
      <c r="O126" s="54"/>
      <c r="P126" s="7"/>
      <c r="Q126" s="7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:46" ht="15">
      <c r="A127" s="58" t="s">
        <v>99</v>
      </c>
      <c r="B127" s="31">
        <v>2038</v>
      </c>
      <c r="C127" s="209">
        <v>83.25</v>
      </c>
      <c r="D127" s="101">
        <v>900.0044976452949</v>
      </c>
      <c r="E127" s="53">
        <v>2700.0134929358846</v>
      </c>
      <c r="F127" s="53"/>
      <c r="G127" s="100"/>
      <c r="H127" s="53"/>
      <c r="I127" s="53"/>
      <c r="J127" s="53"/>
      <c r="K127" s="53"/>
      <c r="L127" s="53"/>
      <c r="M127" s="53"/>
      <c r="N127" s="53"/>
      <c r="O127" s="54"/>
      <c r="P127" s="7"/>
      <c r="Q127" s="7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:46" ht="15">
      <c r="A128" s="58" t="s">
        <v>100</v>
      </c>
      <c r="B128" s="31">
        <v>2038</v>
      </c>
      <c r="C128" s="209">
        <v>83.5</v>
      </c>
      <c r="D128" s="101">
        <v>904.2795190091101</v>
      </c>
      <c r="E128" s="53">
        <v>2712.8385570273304</v>
      </c>
      <c r="F128" s="53"/>
      <c r="G128" s="100"/>
      <c r="H128" s="53"/>
      <c r="I128" s="53"/>
      <c r="J128" s="53"/>
      <c r="K128" s="53"/>
      <c r="L128" s="53"/>
      <c r="M128" s="53"/>
      <c r="N128" s="53"/>
      <c r="O128" s="54"/>
      <c r="P128" s="7"/>
      <c r="Q128" s="7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:46" ht="15">
      <c r="A129" s="58" t="s">
        <v>101</v>
      </c>
      <c r="B129" s="31">
        <v>2038</v>
      </c>
      <c r="C129" s="209">
        <v>83.75</v>
      </c>
      <c r="D129" s="101">
        <v>908.5748467244034</v>
      </c>
      <c r="E129" s="53">
        <v>2725.7245401732102</v>
      </c>
      <c r="F129" s="53">
        <v>10825.82565003778</v>
      </c>
      <c r="G129" s="100"/>
      <c r="H129" s="53">
        <v>10825.82565003778</v>
      </c>
      <c r="I129" s="53"/>
      <c r="J129" s="53">
        <v>10825.82565003778</v>
      </c>
      <c r="K129" s="53">
        <v>42777.18602820574</v>
      </c>
      <c r="L129" s="53">
        <v>114496.98998932615</v>
      </c>
      <c r="M129" s="53">
        <v>0</v>
      </c>
      <c r="N129" s="53">
        <v>0</v>
      </c>
      <c r="O129" s="54">
        <v>0</v>
      </c>
      <c r="P129" s="7"/>
      <c r="Q129" s="7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:46" ht="15">
      <c r="A130" s="210" t="s">
        <v>102</v>
      </c>
      <c r="B130" s="31">
        <v>2039</v>
      </c>
      <c r="C130" s="209">
        <v>84</v>
      </c>
      <c r="D130" s="101">
        <v>912.8905772463444</v>
      </c>
      <c r="E130" s="53">
        <v>2738.671731739033</v>
      </c>
      <c r="F130" s="53"/>
      <c r="G130" s="100"/>
      <c r="H130" s="53"/>
      <c r="I130" s="53"/>
      <c r="J130" s="53"/>
      <c r="K130" s="53"/>
      <c r="L130" s="53"/>
      <c r="M130" s="53"/>
      <c r="N130" s="53"/>
      <c r="O130" s="54"/>
      <c r="P130" s="7"/>
      <c r="Q130" s="7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:46" ht="15">
      <c r="A131" s="58" t="s">
        <v>99</v>
      </c>
      <c r="B131" s="31">
        <v>2039</v>
      </c>
      <c r="C131" s="209">
        <v>84.25</v>
      </c>
      <c r="D131" s="101">
        <v>917.2268074882645</v>
      </c>
      <c r="E131" s="53">
        <v>2751.6804224647935</v>
      </c>
      <c r="F131" s="53"/>
      <c r="G131" s="100"/>
      <c r="H131" s="53"/>
      <c r="I131" s="53"/>
      <c r="J131" s="53"/>
      <c r="K131" s="53"/>
      <c r="L131" s="53"/>
      <c r="M131" s="53"/>
      <c r="N131" s="53"/>
      <c r="O131" s="54"/>
      <c r="P131" s="7"/>
      <c r="Q131" s="7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:46" ht="15">
      <c r="A132" s="58" t="s">
        <v>100</v>
      </c>
      <c r="B132" s="31">
        <v>2039</v>
      </c>
      <c r="C132" s="209">
        <v>84.5</v>
      </c>
      <c r="D132" s="101">
        <v>921.5836348238338</v>
      </c>
      <c r="E132" s="53">
        <v>2764.7509044715016</v>
      </c>
      <c r="F132" s="53"/>
      <c r="G132" s="100"/>
      <c r="H132" s="53"/>
      <c r="I132" s="53"/>
      <c r="J132" s="53"/>
      <c r="K132" s="53"/>
      <c r="L132" s="53"/>
      <c r="M132" s="53"/>
      <c r="N132" s="53"/>
      <c r="O132" s="54"/>
      <c r="P132" s="7"/>
      <c r="Q132" s="7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:46" ht="15">
      <c r="A133" s="58" t="s">
        <v>101</v>
      </c>
      <c r="B133" s="31">
        <v>2039</v>
      </c>
      <c r="C133" s="209">
        <v>84.75</v>
      </c>
      <c r="D133" s="101">
        <v>925.9611570892471</v>
      </c>
      <c r="E133" s="53">
        <v>2777.8834712677412</v>
      </c>
      <c r="F133" s="53">
        <v>11032.986529943071</v>
      </c>
      <c r="G133" s="100"/>
      <c r="H133" s="53">
        <v>11032.986529943071</v>
      </c>
      <c r="I133" s="53"/>
      <c r="J133" s="53">
        <v>11032.986529943071</v>
      </c>
      <c r="K133" s="53">
        <v>43366.05060492199</v>
      </c>
      <c r="L133" s="53">
        <v>116672.43279912333</v>
      </c>
      <c r="M133" s="53">
        <v>0</v>
      </c>
      <c r="N133" s="53">
        <v>0</v>
      </c>
      <c r="O133" s="54">
        <v>0</v>
      </c>
      <c r="P133" s="7"/>
      <c r="Q133" s="7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:46" ht="15">
      <c r="A134" s="210" t="s">
        <v>102</v>
      </c>
      <c r="B134" s="31">
        <v>2040</v>
      </c>
      <c r="C134" s="209">
        <v>85</v>
      </c>
      <c r="D134" s="101">
        <v>930.359472585421</v>
      </c>
      <c r="E134" s="53">
        <v>2791.078417756263</v>
      </c>
      <c r="F134" s="53"/>
      <c r="G134" s="100"/>
      <c r="H134" s="53"/>
      <c r="I134" s="53"/>
      <c r="J134" s="53"/>
      <c r="K134" s="53"/>
      <c r="L134" s="53"/>
      <c r="M134" s="53"/>
      <c r="N134" s="53"/>
      <c r="O134" s="54"/>
      <c r="P134" s="7"/>
      <c r="Q134" s="7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:46" ht="15">
      <c r="A135" s="58" t="s">
        <v>99</v>
      </c>
      <c r="B135" s="31">
        <v>2040</v>
      </c>
      <c r="C135" s="209">
        <v>85.25</v>
      </c>
      <c r="D135" s="101">
        <v>934.7786800802019</v>
      </c>
      <c r="E135" s="53">
        <v>2804.3360402406056</v>
      </c>
      <c r="F135" s="53"/>
      <c r="G135" s="100"/>
      <c r="H135" s="53"/>
      <c r="I135" s="53"/>
      <c r="J135" s="53"/>
      <c r="K135" s="53"/>
      <c r="L135" s="53"/>
      <c r="M135" s="53"/>
      <c r="N135" s="53"/>
      <c r="O135" s="54"/>
      <c r="P135" s="7"/>
      <c r="Q135" s="7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:46" ht="15">
      <c r="A136" s="58" t="s">
        <v>100</v>
      </c>
      <c r="B136" s="31">
        <v>2040</v>
      </c>
      <c r="C136" s="209">
        <v>85.5</v>
      </c>
      <c r="D136" s="101">
        <v>939.2188788105829</v>
      </c>
      <c r="E136" s="53">
        <v>2817.6566364317487</v>
      </c>
      <c r="F136" s="53"/>
      <c r="G136" s="100"/>
      <c r="H136" s="53"/>
      <c r="I136" s="53"/>
      <c r="J136" s="53"/>
      <c r="K136" s="53"/>
      <c r="L136" s="53"/>
      <c r="M136" s="53"/>
      <c r="N136" s="53"/>
      <c r="O136" s="54"/>
      <c r="P136" s="7"/>
      <c r="Q136" s="7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:46" ht="15">
      <c r="A137" s="58" t="s">
        <v>101</v>
      </c>
      <c r="B137" s="31">
        <v>2040</v>
      </c>
      <c r="C137" s="209">
        <v>85.75</v>
      </c>
      <c r="D137" s="101">
        <v>943.6801684849331</v>
      </c>
      <c r="E137" s="53">
        <v>2831.040505454799</v>
      </c>
      <c r="F137" s="53">
        <v>11244.111599883418</v>
      </c>
      <c r="G137" s="100"/>
      <c r="H137" s="53">
        <v>11244.111599883418</v>
      </c>
      <c r="I137" s="53"/>
      <c r="J137" s="53">
        <v>11244.111599883418</v>
      </c>
      <c r="K137" s="53">
        <v>43969.73088139593</v>
      </c>
      <c r="L137" s="53">
        <v>118889.20902230666</v>
      </c>
      <c r="M137" s="53">
        <v>0</v>
      </c>
      <c r="N137" s="53">
        <v>0</v>
      </c>
      <c r="O137" s="54">
        <v>0</v>
      </c>
      <c r="P137" s="7"/>
      <c r="Q137" s="7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:46" ht="15">
      <c r="A138" s="210" t="s">
        <v>102</v>
      </c>
      <c r="B138" s="31">
        <v>2041</v>
      </c>
      <c r="C138" s="209">
        <v>86</v>
      </c>
      <c r="D138" s="101">
        <v>948.1626492852366</v>
      </c>
      <c r="E138" s="53">
        <v>2844.48794785571</v>
      </c>
      <c r="F138" s="53"/>
      <c r="G138" s="100"/>
      <c r="H138" s="53"/>
      <c r="I138" s="53"/>
      <c r="J138" s="53"/>
      <c r="K138" s="53"/>
      <c r="L138" s="53"/>
      <c r="M138" s="53"/>
      <c r="N138" s="53"/>
      <c r="O138" s="54"/>
      <c r="P138" s="7"/>
      <c r="Q138" s="7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:46" ht="15">
      <c r="A139" s="58" t="s">
        <v>99</v>
      </c>
      <c r="B139" s="31">
        <v>2041</v>
      </c>
      <c r="C139" s="209">
        <v>86.25</v>
      </c>
      <c r="D139" s="101">
        <v>952.6664218693415</v>
      </c>
      <c r="E139" s="53">
        <v>2857.999265608025</v>
      </c>
      <c r="F139" s="53"/>
      <c r="G139" s="100"/>
      <c r="H139" s="53"/>
      <c r="I139" s="53"/>
      <c r="J139" s="53"/>
      <c r="K139" s="53"/>
      <c r="L139" s="53"/>
      <c r="M139" s="53"/>
      <c r="N139" s="53"/>
      <c r="O139" s="54"/>
      <c r="P139" s="7"/>
      <c r="Q139" s="7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:46" ht="15">
      <c r="A140" s="58" t="s">
        <v>100</v>
      </c>
      <c r="B140" s="31">
        <v>2041</v>
      </c>
      <c r="C140" s="209">
        <v>86.5</v>
      </c>
      <c r="D140" s="101">
        <v>957.191587373221</v>
      </c>
      <c r="E140" s="53">
        <v>2871.574762119663</v>
      </c>
      <c r="F140" s="53"/>
      <c r="G140" s="100"/>
      <c r="H140" s="53"/>
      <c r="I140" s="53"/>
      <c r="J140" s="53"/>
      <c r="K140" s="53"/>
      <c r="L140" s="53"/>
      <c r="M140" s="53"/>
      <c r="N140" s="53"/>
      <c r="O140" s="54"/>
      <c r="P140" s="7"/>
      <c r="Q140" s="7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:46" ht="15">
      <c r="A141" s="58" t="s">
        <v>101</v>
      </c>
      <c r="B141" s="31">
        <v>2041</v>
      </c>
      <c r="C141" s="209">
        <v>86.75</v>
      </c>
      <c r="D141" s="101">
        <v>961.7382474132438</v>
      </c>
      <c r="E141" s="53">
        <v>2885.2147422397315</v>
      </c>
      <c r="F141" s="53">
        <v>11459.27671782313</v>
      </c>
      <c r="G141" s="100"/>
      <c r="H141" s="53">
        <v>11459.27671782313</v>
      </c>
      <c r="I141" s="53"/>
      <c r="J141" s="53">
        <v>11459.27671782313</v>
      </c>
      <c r="K141" s="53">
        <v>44588.11932116734</v>
      </c>
      <c r="L141" s="53">
        <v>121148.10399373047</v>
      </c>
      <c r="M141" s="53">
        <v>0</v>
      </c>
      <c r="N141" s="53">
        <v>0</v>
      </c>
      <c r="O141" s="54">
        <v>0</v>
      </c>
      <c r="P141" s="7"/>
      <c r="Q141" s="7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:46" ht="15">
      <c r="A142" s="210" t="s">
        <v>102</v>
      </c>
      <c r="B142" s="31">
        <v>2042</v>
      </c>
      <c r="C142" s="209">
        <v>87</v>
      </c>
      <c r="D142" s="101">
        <v>966.3065040884568</v>
      </c>
      <c r="E142" s="53">
        <v>2898.9195122653705</v>
      </c>
      <c r="F142" s="53"/>
      <c r="G142" s="100"/>
      <c r="H142" s="53"/>
      <c r="I142" s="53"/>
      <c r="J142" s="53"/>
      <c r="K142" s="53"/>
      <c r="L142" s="53"/>
      <c r="M142" s="53"/>
      <c r="N142" s="53"/>
      <c r="O142" s="54"/>
      <c r="P142" s="53"/>
      <c r="Q142" s="53"/>
      <c r="R142" s="100"/>
      <c r="S142" s="100"/>
      <c r="T142" s="100"/>
      <c r="U142" s="100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:46" ht="15">
      <c r="A143" s="58" t="s">
        <v>99</v>
      </c>
      <c r="B143" s="31">
        <v>2042</v>
      </c>
      <c r="C143" s="209">
        <v>87.25</v>
      </c>
      <c r="D143" s="101">
        <v>970.896459982877</v>
      </c>
      <c r="E143" s="53">
        <v>2912.689379948631</v>
      </c>
      <c r="F143" s="53"/>
      <c r="G143" s="100"/>
      <c r="H143" s="53"/>
      <c r="I143" s="53"/>
      <c r="J143" s="53"/>
      <c r="K143" s="53"/>
      <c r="L143" s="53"/>
      <c r="M143" s="53"/>
      <c r="N143" s="53"/>
      <c r="O143" s="54"/>
      <c r="P143" s="7"/>
      <c r="Q143" s="7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:46" ht="15">
      <c r="A144" s="58" t="s">
        <v>100</v>
      </c>
      <c r="B144" s="31">
        <v>2042</v>
      </c>
      <c r="C144" s="209">
        <v>87.5</v>
      </c>
      <c r="D144" s="101">
        <v>975.5082181677957</v>
      </c>
      <c r="E144" s="53">
        <v>2926.524654503387</v>
      </c>
      <c r="F144" s="53"/>
      <c r="G144" s="100"/>
      <c r="H144" s="53"/>
      <c r="I144" s="53"/>
      <c r="J144" s="53"/>
      <c r="K144" s="53"/>
      <c r="L144" s="53"/>
      <c r="M144" s="53"/>
      <c r="N144" s="53"/>
      <c r="O144" s="54"/>
      <c r="P144" s="7"/>
      <c r="Q144" s="7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:46" ht="15">
      <c r="A145" s="58" t="s">
        <v>101</v>
      </c>
      <c r="B145" s="31">
        <v>2042</v>
      </c>
      <c r="C145" s="209">
        <v>87.75</v>
      </c>
      <c r="D145" s="101">
        <v>980.1418822040928</v>
      </c>
      <c r="E145" s="53">
        <v>2940.4256466122783</v>
      </c>
      <c r="F145" s="53">
        <v>11678.559193329667</v>
      </c>
      <c r="G145" s="100"/>
      <c r="H145" s="53">
        <v>11678.559193329667</v>
      </c>
      <c r="I145" s="53"/>
      <c r="J145" s="53">
        <v>11678.559193329667</v>
      </c>
      <c r="K145" s="53">
        <v>47071.703719850506</v>
      </c>
      <c r="L145" s="53">
        <v>123449.91796961134</v>
      </c>
      <c r="M145" s="53">
        <v>0</v>
      </c>
      <c r="N145" s="53">
        <v>0</v>
      </c>
      <c r="O145" s="54">
        <v>0</v>
      </c>
      <c r="P145" s="7"/>
      <c r="Q145" s="7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:46" ht="15">
      <c r="A146" s="210" t="s">
        <v>102</v>
      </c>
      <c r="B146" s="31">
        <v>2043</v>
      </c>
      <c r="C146" s="209">
        <v>88</v>
      </c>
      <c r="D146" s="101">
        <v>984.7975561445622</v>
      </c>
      <c r="E146" s="53">
        <v>2954.3926684336866</v>
      </c>
      <c r="F146" s="53"/>
      <c r="G146" s="100"/>
      <c r="H146" s="53"/>
      <c r="I146" s="53"/>
      <c r="J146" s="53"/>
      <c r="K146" s="53"/>
      <c r="L146" s="53"/>
      <c r="M146" s="53"/>
      <c r="N146" s="53"/>
      <c r="O146" s="54"/>
      <c r="P146" s="7"/>
      <c r="Q146" s="7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:46" ht="15">
      <c r="A147" s="58" t="s">
        <v>99</v>
      </c>
      <c r="B147" s="31">
        <v>2043</v>
      </c>
      <c r="C147" s="209">
        <v>88.25</v>
      </c>
      <c r="D147" s="101">
        <v>989.4753445362489</v>
      </c>
      <c r="E147" s="53">
        <v>2968.426033608747</v>
      </c>
      <c r="F147" s="53"/>
      <c r="G147" s="100"/>
      <c r="H147" s="53"/>
      <c r="I147" s="53"/>
      <c r="J147" s="53"/>
      <c r="K147" s="53"/>
      <c r="L147" s="53"/>
      <c r="M147" s="53"/>
      <c r="N147" s="53"/>
      <c r="O147" s="54"/>
      <c r="P147" s="7"/>
      <c r="Q147" s="7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:46" ht="15">
      <c r="A148" s="58" t="s">
        <v>100</v>
      </c>
      <c r="B148" s="31">
        <v>2043</v>
      </c>
      <c r="C148" s="209">
        <v>88.5</v>
      </c>
      <c r="D148" s="101">
        <v>994.1753524227962</v>
      </c>
      <c r="E148" s="53">
        <v>2982.5260572683887</v>
      </c>
      <c r="F148" s="53"/>
      <c r="G148" s="100"/>
      <c r="H148" s="53"/>
      <c r="I148" s="53"/>
      <c r="J148" s="53"/>
      <c r="K148" s="53"/>
      <c r="L148" s="53"/>
      <c r="M148" s="53"/>
      <c r="N148" s="53"/>
      <c r="O148" s="54"/>
      <c r="P148" s="7"/>
      <c r="Q148" s="7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:46" ht="15">
      <c r="A149" s="58" t="s">
        <v>101</v>
      </c>
      <c r="B149" s="31">
        <v>2043</v>
      </c>
      <c r="C149" s="209">
        <v>88.75</v>
      </c>
      <c r="D149" s="101">
        <v>998.8976853468046</v>
      </c>
      <c r="E149" s="53">
        <v>2996.6930560404135</v>
      </c>
      <c r="F149" s="53">
        <v>11902.037815351236</v>
      </c>
      <c r="G149" s="100"/>
      <c r="H149" s="53">
        <v>11902.037815351236</v>
      </c>
      <c r="I149" s="53"/>
      <c r="J149" s="53">
        <v>11902.037815351236</v>
      </c>
      <c r="K149" s="53">
        <v>0</v>
      </c>
      <c r="L149" s="53">
        <v>125795.46641103395</v>
      </c>
      <c r="M149" s="53">
        <v>0</v>
      </c>
      <c r="N149" s="53">
        <v>0</v>
      </c>
      <c r="O149" s="54">
        <v>0</v>
      </c>
      <c r="P149" s="7"/>
      <c r="Q149" s="7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:46" ht="15">
      <c r="A150" s="210" t="s">
        <v>102</v>
      </c>
      <c r="B150" s="31">
        <v>2044</v>
      </c>
      <c r="C150" s="209">
        <v>89</v>
      </c>
      <c r="D150" s="101">
        <v>1003.6424493522019</v>
      </c>
      <c r="E150" s="53">
        <v>3010.9273480566058</v>
      </c>
      <c r="F150" s="53"/>
      <c r="G150" s="100"/>
      <c r="H150" s="53"/>
      <c r="I150" s="53"/>
      <c r="J150" s="53"/>
      <c r="K150" s="53"/>
      <c r="L150" s="53"/>
      <c r="M150" s="53"/>
      <c r="N150" s="53"/>
      <c r="O150" s="54"/>
      <c r="P150" s="7"/>
      <c r="Q150" s="7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:46" ht="15">
      <c r="A151" s="58" t="s">
        <v>99</v>
      </c>
      <c r="B151" s="31">
        <v>2044</v>
      </c>
      <c r="C151" s="209">
        <v>89.25</v>
      </c>
      <c r="D151" s="101">
        <v>1008.4097509866249</v>
      </c>
      <c r="E151" s="53">
        <v>3025.2292529598744</v>
      </c>
      <c r="F151" s="53"/>
      <c r="G151" s="100"/>
      <c r="H151" s="53"/>
      <c r="I151" s="53"/>
      <c r="J151" s="53"/>
      <c r="K151" s="53"/>
      <c r="L151" s="53"/>
      <c r="M151" s="53"/>
      <c r="N151" s="53"/>
      <c r="O151" s="54"/>
      <c r="P151" s="7"/>
      <c r="Q151" s="7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:46" ht="15">
      <c r="A152" s="58" t="s">
        <v>100</v>
      </c>
      <c r="B152" s="31">
        <v>2044</v>
      </c>
      <c r="C152" s="209">
        <v>89.5</v>
      </c>
      <c r="D152" s="101">
        <v>1013.1996973038114</v>
      </c>
      <c r="E152" s="53">
        <v>3039.5990919114342</v>
      </c>
      <c r="F152" s="53"/>
      <c r="G152" s="100"/>
      <c r="H152" s="53"/>
      <c r="I152" s="53"/>
      <c r="J152" s="53"/>
      <c r="K152" s="53"/>
      <c r="L152" s="53"/>
      <c r="M152" s="53"/>
      <c r="N152" s="53"/>
      <c r="O152" s="54"/>
      <c r="P152" s="7"/>
      <c r="Q152" s="7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:46" ht="15">
      <c r="A153" s="58" t="s">
        <v>101</v>
      </c>
      <c r="B153" s="31">
        <v>2044</v>
      </c>
      <c r="C153" s="209">
        <v>89.75</v>
      </c>
      <c r="D153" s="101">
        <v>1018.0123958660046</v>
      </c>
      <c r="E153" s="53">
        <v>3054.0371875980136</v>
      </c>
      <c r="F153" s="53">
        <v>12129.792880525929</v>
      </c>
      <c r="G153" s="100"/>
      <c r="H153" s="53">
        <v>12129.792880525929</v>
      </c>
      <c r="I153" s="53"/>
      <c r="J153" s="53">
        <v>12129.792880525929</v>
      </c>
      <c r="K153" s="53">
        <v>0</v>
      </c>
      <c r="L153" s="53">
        <v>128185.58027284358</v>
      </c>
      <c r="M153" s="53">
        <v>0</v>
      </c>
      <c r="N153" s="53">
        <v>0</v>
      </c>
      <c r="O153" s="54">
        <v>0</v>
      </c>
      <c r="P153" s="7"/>
      <c r="Q153" s="7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:46" ht="15">
      <c r="A154" s="210" t="s">
        <v>102</v>
      </c>
      <c r="B154" s="31">
        <v>2045</v>
      </c>
      <c r="C154" s="209">
        <v>90</v>
      </c>
      <c r="D154" s="101">
        <v>1022.8479547463681</v>
      </c>
      <c r="E154" s="53">
        <v>3068.5438642391046</v>
      </c>
      <c r="F154" s="53"/>
      <c r="G154" s="100"/>
      <c r="H154" s="53"/>
      <c r="I154" s="53"/>
      <c r="J154" s="53"/>
      <c r="K154" s="53"/>
      <c r="L154" s="53"/>
      <c r="M154" s="53"/>
      <c r="N154" s="53"/>
      <c r="O154" s="54"/>
      <c r="P154" s="7"/>
      <c r="Q154" s="7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:46" ht="15">
      <c r="A155" s="58" t="s">
        <v>99</v>
      </c>
      <c r="B155" s="31">
        <v>2045</v>
      </c>
      <c r="C155" s="209">
        <v>90.25</v>
      </c>
      <c r="D155" s="101">
        <v>1027.7064825314135</v>
      </c>
      <c r="E155" s="53">
        <v>3083.1194475942402</v>
      </c>
      <c r="F155" s="53"/>
      <c r="G155" s="100"/>
      <c r="H155" s="53"/>
      <c r="I155" s="53"/>
      <c r="J155" s="53"/>
      <c r="K155" s="53"/>
      <c r="L155" s="53"/>
      <c r="M155" s="53"/>
      <c r="N155" s="53"/>
      <c r="O155" s="54"/>
      <c r="P155" s="7"/>
      <c r="Q155" s="7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:46" ht="15">
      <c r="A156" s="58" t="s">
        <v>100</v>
      </c>
      <c r="B156" s="31">
        <v>2045</v>
      </c>
      <c r="C156" s="209">
        <v>90.5</v>
      </c>
      <c r="D156" s="101">
        <v>1032.5880883234377</v>
      </c>
      <c r="E156" s="53">
        <v>3097.764264970313</v>
      </c>
      <c r="F156" s="53"/>
      <c r="G156" s="100"/>
      <c r="H156" s="53"/>
      <c r="I156" s="53"/>
      <c r="J156" s="53"/>
      <c r="K156" s="53"/>
      <c r="L156" s="53"/>
      <c r="M156" s="53"/>
      <c r="N156" s="53"/>
      <c r="O156" s="54"/>
      <c r="P156" s="7"/>
      <c r="Q156" s="7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:46" ht="15">
      <c r="A157" s="58" t="s">
        <v>101</v>
      </c>
      <c r="B157" s="31">
        <v>2045</v>
      </c>
      <c r="C157" s="209">
        <v>90.75</v>
      </c>
      <c r="D157" s="101">
        <v>1037.492881742974</v>
      </c>
      <c r="E157" s="53">
        <v>3112.4786452289222</v>
      </c>
      <c r="F157" s="53">
        <v>12361.90622203258</v>
      </c>
      <c r="G157" s="100"/>
      <c r="H157" s="53">
        <v>12361.90622203258</v>
      </c>
      <c r="I157" s="53"/>
      <c r="J157" s="53">
        <v>12361.90622203258</v>
      </c>
      <c r="K157" s="53">
        <v>0</v>
      </c>
      <c r="L157" s="53">
        <v>130621.1062980276</v>
      </c>
      <c r="M157" s="53">
        <v>0</v>
      </c>
      <c r="N157" s="53">
        <v>0</v>
      </c>
      <c r="O157" s="54">
        <v>0</v>
      </c>
      <c r="P157" s="7"/>
      <c r="Q157" s="7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:46" ht="15">
      <c r="A158" s="210" t="s">
        <v>102</v>
      </c>
      <c r="B158" s="31">
        <v>2046</v>
      </c>
      <c r="C158" s="209">
        <v>91</v>
      </c>
      <c r="D158" s="101">
        <v>1042.4209729312533</v>
      </c>
      <c r="E158" s="53">
        <v>3127.26291879376</v>
      </c>
      <c r="F158" s="53"/>
      <c r="G158" s="100"/>
      <c r="H158" s="53"/>
      <c r="I158" s="53"/>
      <c r="J158" s="53"/>
      <c r="K158" s="53"/>
      <c r="L158" s="53"/>
      <c r="M158" s="53"/>
      <c r="N158" s="53"/>
      <c r="O158" s="54"/>
      <c r="P158" s="7"/>
      <c r="Q158" s="7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:46" ht="15">
      <c r="A159" s="58" t="s">
        <v>99</v>
      </c>
      <c r="B159" s="31">
        <v>2046</v>
      </c>
      <c r="C159" s="209">
        <v>91.25</v>
      </c>
      <c r="D159" s="101">
        <v>1047.3724725526768</v>
      </c>
      <c r="E159" s="53">
        <v>3142.1174176580303</v>
      </c>
      <c r="F159" s="53"/>
      <c r="G159" s="100"/>
      <c r="H159" s="53"/>
      <c r="I159" s="53"/>
      <c r="J159" s="53"/>
      <c r="K159" s="53"/>
      <c r="L159" s="53"/>
      <c r="M159" s="53"/>
      <c r="N159" s="53"/>
      <c r="O159" s="54"/>
      <c r="P159" s="7"/>
      <c r="Q159" s="7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:46" ht="15">
      <c r="A160" s="58" t="s">
        <v>100</v>
      </c>
      <c r="B160" s="31">
        <v>2046</v>
      </c>
      <c r="C160" s="209">
        <v>91.5</v>
      </c>
      <c r="D160" s="101">
        <v>1052.347491797302</v>
      </c>
      <c r="E160" s="53">
        <v>3157.042475391906</v>
      </c>
      <c r="F160" s="53"/>
      <c r="G160" s="100"/>
      <c r="H160" s="53"/>
      <c r="I160" s="53"/>
      <c r="J160" s="53"/>
      <c r="K160" s="53"/>
      <c r="L160" s="53"/>
      <c r="M160" s="53"/>
      <c r="N160" s="53"/>
      <c r="O160" s="54"/>
      <c r="P160" s="7"/>
      <c r="Q160" s="7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:46" ht="15.75" thickBot="1">
      <c r="A161" s="11" t="s">
        <v>101</v>
      </c>
      <c r="B161" s="12">
        <v>2046</v>
      </c>
      <c r="C161" s="211">
        <v>91.75</v>
      </c>
      <c r="D161" s="212">
        <v>1057.3461423833392</v>
      </c>
      <c r="E161" s="56">
        <v>3172.0384271500175</v>
      </c>
      <c r="F161" s="56">
        <v>12598.461238993712</v>
      </c>
      <c r="G161" s="198"/>
      <c r="H161" s="56">
        <v>12598.461238993712</v>
      </c>
      <c r="I161" s="56"/>
      <c r="J161" s="56">
        <v>12598.461238993712</v>
      </c>
      <c r="K161" s="56">
        <v>0</v>
      </c>
      <c r="L161" s="56">
        <v>133102.90731769011</v>
      </c>
      <c r="M161" s="56">
        <v>0</v>
      </c>
      <c r="N161" s="56">
        <v>0</v>
      </c>
      <c r="O161" s="57">
        <v>0</v>
      </c>
      <c r="P161" s="7"/>
      <c r="Q161" s="7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4:46" ht="15">
      <c r="D162" s="15"/>
      <c r="E162" s="15"/>
      <c r="F162" s="15"/>
      <c r="G162" s="15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4:46" ht="15">
      <c r="D163" s="15"/>
      <c r="E163" s="15"/>
      <c r="F163" s="15"/>
      <c r="G163" s="15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4:46" ht="15">
      <c r="D164" s="15"/>
      <c r="E164" s="15"/>
      <c r="F164" s="15"/>
      <c r="G164" s="15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4:46" ht="15">
      <c r="D165" s="15"/>
      <c r="E165" s="15"/>
      <c r="F165" s="15"/>
      <c r="G165" s="15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4:46" ht="15">
      <c r="D166" s="15"/>
      <c r="E166" s="15"/>
      <c r="F166" s="15"/>
      <c r="G166" s="15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4:46" ht="15">
      <c r="D167" s="15"/>
      <c r="E167" s="15"/>
      <c r="F167" s="15"/>
      <c r="G167" s="15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4:46" ht="15">
      <c r="D168" s="15"/>
      <c r="E168" s="15"/>
      <c r="F168" s="15"/>
      <c r="G168" s="15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4:46" ht="15">
      <c r="D169" s="15"/>
      <c r="E169" s="15"/>
      <c r="F169" s="15"/>
      <c r="G169" s="15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4:46" ht="15">
      <c r="D170" s="15"/>
      <c r="E170" s="15"/>
      <c r="F170" s="15"/>
      <c r="G170" s="15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4:46" ht="15">
      <c r="D171" s="15"/>
      <c r="E171" s="15"/>
      <c r="F171" s="15"/>
      <c r="G171" s="15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4:46" ht="15">
      <c r="D172" s="15"/>
      <c r="E172" s="15"/>
      <c r="F172" s="15"/>
      <c r="G172" s="15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4:46" ht="15">
      <c r="D173" s="15"/>
      <c r="E173" s="15"/>
      <c r="F173" s="15"/>
      <c r="G173" s="15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4:46" ht="15">
      <c r="D174" s="15"/>
      <c r="E174" s="15"/>
      <c r="F174" s="15"/>
      <c r="G174" s="15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4:46" ht="15">
      <c r="D175" s="15"/>
      <c r="E175" s="15"/>
      <c r="F175" s="15"/>
      <c r="G175" s="15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4:46" ht="15">
      <c r="D176" s="15"/>
      <c r="E176" s="15"/>
      <c r="F176" s="15"/>
      <c r="G176" s="15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4:46" ht="15">
      <c r="D177" s="15"/>
      <c r="E177" s="15"/>
      <c r="F177" s="15"/>
      <c r="G177" s="15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4:46" ht="15">
      <c r="D178" s="15"/>
      <c r="E178" s="15"/>
      <c r="F178" s="15"/>
      <c r="G178" s="15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4:46" ht="15">
      <c r="D179" s="15"/>
      <c r="E179" s="15"/>
      <c r="F179" s="15"/>
      <c r="G179" s="15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4:46" ht="15">
      <c r="D180" s="15"/>
      <c r="E180" s="15"/>
      <c r="F180" s="15"/>
      <c r="G180" s="15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4:46" ht="15">
      <c r="D181" s="15"/>
      <c r="E181" s="15"/>
      <c r="F181" s="15"/>
      <c r="G181" s="15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4:46" ht="15">
      <c r="D182" s="15"/>
      <c r="E182" s="15"/>
      <c r="F182" s="15"/>
      <c r="G182" s="15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4:46" ht="15">
      <c r="D183" s="15"/>
      <c r="E183" s="15"/>
      <c r="F183" s="15"/>
      <c r="G183" s="15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4:46" ht="15">
      <c r="D184" s="15"/>
      <c r="E184" s="15"/>
      <c r="F184" s="15"/>
      <c r="G184" s="15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4:46" ht="15">
      <c r="D185" s="15"/>
      <c r="E185" s="15"/>
      <c r="F185" s="15"/>
      <c r="G185" s="15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4:46" ht="15">
      <c r="D186" s="15"/>
      <c r="E186" s="15"/>
      <c r="F186" s="15"/>
      <c r="G186" s="15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4:46" ht="15">
      <c r="D187" s="15"/>
      <c r="E187" s="15"/>
      <c r="F187" s="15"/>
      <c r="G187" s="15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4:46" ht="15">
      <c r="D188" s="15"/>
      <c r="E188" s="15"/>
      <c r="F188" s="15"/>
      <c r="G188" s="15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4:46" ht="15">
      <c r="D189" s="15"/>
      <c r="E189" s="15"/>
      <c r="F189" s="15"/>
      <c r="G189" s="15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4:46" ht="15">
      <c r="D190" s="15"/>
      <c r="E190" s="15"/>
      <c r="F190" s="15"/>
      <c r="G190" s="15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4:46" ht="15">
      <c r="D191" s="15"/>
      <c r="E191" s="15"/>
      <c r="F191" s="15"/>
      <c r="G191" s="15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4:46" ht="15">
      <c r="D192" s="15"/>
      <c r="E192" s="15"/>
      <c r="F192" s="15"/>
      <c r="G192" s="15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4:46" ht="15">
      <c r="D193" s="15"/>
      <c r="E193" s="15"/>
      <c r="F193" s="15"/>
      <c r="G193" s="15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4:46" ht="15">
      <c r="D194" s="15"/>
      <c r="E194" s="15"/>
      <c r="F194" s="15"/>
      <c r="G194" s="15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4:46" ht="15">
      <c r="D195" s="15"/>
      <c r="E195" s="15"/>
      <c r="F195" s="15"/>
      <c r="G195" s="15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4:17" ht="15">
      <c r="D196" s="15"/>
      <c r="E196" s="15"/>
      <c r="F196" s="15"/>
      <c r="G196" s="15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4:17" ht="15">
      <c r="D197" s="15"/>
      <c r="E197" s="15"/>
      <c r="F197" s="15"/>
      <c r="G197" s="15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4:17" ht="15">
      <c r="D198" s="15"/>
      <c r="E198" s="15"/>
      <c r="F198" s="15"/>
      <c r="G198" s="15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4:17" ht="15">
      <c r="D199" s="15"/>
      <c r="E199" s="15"/>
      <c r="F199" s="15"/>
      <c r="G199" s="15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4:17" ht="15">
      <c r="D200" s="15"/>
      <c r="E200" s="15"/>
      <c r="F200" s="15"/>
      <c r="G200" s="15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4:17" ht="15">
      <c r="D201" s="15"/>
      <c r="E201" s="15"/>
      <c r="F201" s="15"/>
      <c r="G201" s="15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4:17" ht="15">
      <c r="D202" s="15"/>
      <c r="E202" s="15"/>
      <c r="F202" s="15"/>
      <c r="G202" s="15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4:17" ht="15">
      <c r="D203" s="15"/>
      <c r="E203" s="15"/>
      <c r="F203" s="15"/>
      <c r="G203" s="15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4:17" ht="15">
      <c r="D204" s="15"/>
      <c r="E204" s="15"/>
      <c r="F204" s="15"/>
      <c r="G204" s="15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4:17" ht="15">
      <c r="D205" s="15"/>
      <c r="E205" s="15"/>
      <c r="F205" s="15"/>
      <c r="G205" s="15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4:17" ht="15">
      <c r="D206" s="15"/>
      <c r="E206" s="15"/>
      <c r="F206" s="15"/>
      <c r="G206" s="15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4:17" ht="15">
      <c r="D207" s="15"/>
      <c r="E207" s="15"/>
      <c r="F207" s="15"/>
      <c r="G207" s="15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4:17" ht="15">
      <c r="D208" s="15"/>
      <c r="E208" s="15"/>
      <c r="F208" s="15"/>
      <c r="G208" s="15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4:17" ht="15">
      <c r="D209" s="15"/>
      <c r="E209" s="15"/>
      <c r="F209" s="15"/>
      <c r="G209" s="15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4:17" ht="15">
      <c r="D210" s="15"/>
      <c r="E210" s="15"/>
      <c r="F210" s="15"/>
      <c r="G210" s="15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4:17" ht="15">
      <c r="D211" s="15"/>
      <c r="E211" s="15"/>
      <c r="F211" s="15"/>
      <c r="G211" s="15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4:17" ht="15">
      <c r="D212" s="15"/>
      <c r="E212" s="15"/>
      <c r="F212" s="15"/>
      <c r="G212" s="15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4:17" ht="15">
      <c r="D213" s="15"/>
      <c r="E213" s="15"/>
      <c r="F213" s="15"/>
      <c r="G213" s="15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4:17" ht="15">
      <c r="D214" s="15"/>
      <c r="E214" s="15"/>
      <c r="F214" s="15"/>
      <c r="G214" s="15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4:17" ht="15">
      <c r="D215" s="15"/>
      <c r="E215" s="15"/>
      <c r="F215" s="15"/>
      <c r="G215" s="15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4:17" ht="15">
      <c r="D216" s="15"/>
      <c r="E216" s="15"/>
      <c r="F216" s="15"/>
      <c r="G216" s="15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4:17" ht="15">
      <c r="D217" s="15"/>
      <c r="E217" s="15"/>
      <c r="F217" s="15"/>
      <c r="G217" s="15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4:17" ht="15">
      <c r="D218" s="15"/>
      <c r="E218" s="15"/>
      <c r="F218" s="15"/>
      <c r="G218" s="15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4:17" ht="15">
      <c r="D219" s="15"/>
      <c r="E219" s="15"/>
      <c r="F219" s="15"/>
      <c r="G219" s="15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4:17" ht="15">
      <c r="D220" s="15"/>
      <c r="E220" s="15"/>
      <c r="F220" s="15"/>
      <c r="G220" s="15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4:17" ht="15">
      <c r="D221" s="15"/>
      <c r="E221" s="15"/>
      <c r="F221" s="15"/>
      <c r="G221" s="15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4:17" ht="15">
      <c r="D222" s="15"/>
      <c r="E222" s="15"/>
      <c r="F222" s="15"/>
      <c r="G222" s="15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4:17" ht="15">
      <c r="D223" s="15"/>
      <c r="E223" s="15"/>
      <c r="F223" s="15"/>
      <c r="G223" s="15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4:17" ht="15">
      <c r="D224" s="15"/>
      <c r="E224" s="15"/>
      <c r="F224" s="15"/>
      <c r="G224" s="15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4:17" ht="15">
      <c r="D225" s="15"/>
      <c r="E225" s="15"/>
      <c r="F225" s="15"/>
      <c r="G225" s="15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4:17" ht="15">
      <c r="D226" s="15"/>
      <c r="E226" s="15"/>
      <c r="F226" s="15"/>
      <c r="G226" s="15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4:17" ht="15">
      <c r="D227" s="15"/>
      <c r="E227" s="15"/>
      <c r="F227" s="15"/>
      <c r="G227" s="15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4:17" ht="15">
      <c r="D228" s="15"/>
      <c r="E228" s="15"/>
      <c r="F228" s="15"/>
      <c r="G228" s="15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4:17" ht="15">
      <c r="D229" s="15"/>
      <c r="E229" s="15"/>
      <c r="F229" s="15"/>
      <c r="G229" s="15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4:17" ht="15">
      <c r="D230" s="15"/>
      <c r="E230" s="15"/>
      <c r="F230" s="15"/>
      <c r="G230" s="15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4:17" ht="15">
      <c r="D231" s="15"/>
      <c r="E231" s="15"/>
      <c r="F231" s="15"/>
      <c r="G231" s="15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4:17" ht="15">
      <c r="D232" s="15"/>
      <c r="E232" s="15"/>
      <c r="F232" s="15"/>
      <c r="G232" s="15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4:17" ht="15">
      <c r="D233" s="15"/>
      <c r="E233" s="15"/>
      <c r="F233" s="15"/>
      <c r="G233" s="15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4:17" ht="15">
      <c r="D234" s="15"/>
      <c r="E234" s="15"/>
      <c r="F234" s="15"/>
      <c r="G234" s="15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4:17" ht="15">
      <c r="D235" s="15"/>
      <c r="E235" s="15"/>
      <c r="F235" s="15"/>
      <c r="G235" s="15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4:17" ht="15">
      <c r="D236" s="15"/>
      <c r="E236" s="15"/>
      <c r="F236" s="15"/>
      <c r="G236" s="15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4:17" ht="15">
      <c r="D237" s="15"/>
      <c r="E237" s="15"/>
      <c r="F237" s="15"/>
      <c r="G237" s="15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4:17" ht="15">
      <c r="D238" s="15"/>
      <c r="E238" s="15"/>
      <c r="F238" s="15"/>
      <c r="G238" s="15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4:17" ht="15">
      <c r="D239" s="15"/>
      <c r="E239" s="15"/>
      <c r="F239" s="15"/>
      <c r="G239" s="15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4:17" ht="15">
      <c r="D240" s="15"/>
      <c r="E240" s="15"/>
      <c r="F240" s="15"/>
      <c r="G240" s="15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4:17" ht="15">
      <c r="D241" s="15"/>
      <c r="E241" s="15"/>
      <c r="F241" s="15"/>
      <c r="G241" s="15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4:17" ht="15">
      <c r="D242" s="15"/>
      <c r="E242" s="15"/>
      <c r="F242" s="15"/>
      <c r="G242" s="15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4:17" ht="15">
      <c r="D243" s="15"/>
      <c r="E243" s="15"/>
      <c r="F243" s="15"/>
      <c r="G243" s="15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4:17" ht="15">
      <c r="D244" s="15"/>
      <c r="E244" s="15"/>
      <c r="F244" s="15"/>
      <c r="G244" s="15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4:17" ht="15">
      <c r="D245" s="15"/>
      <c r="E245" s="15"/>
      <c r="F245" s="15"/>
      <c r="G245" s="15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4:17" ht="15">
      <c r="D246" s="15"/>
      <c r="E246" s="15"/>
      <c r="F246" s="15"/>
      <c r="G246" s="15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4:17" ht="15">
      <c r="D247" s="15"/>
      <c r="E247" s="15"/>
      <c r="F247" s="15"/>
      <c r="G247" s="15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4:17" ht="15">
      <c r="D248" s="15"/>
      <c r="E248" s="15"/>
      <c r="F248" s="15"/>
      <c r="G248" s="15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4:17" ht="15">
      <c r="D249" s="15"/>
      <c r="E249" s="15"/>
      <c r="F249" s="15"/>
      <c r="G249" s="15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4:17" ht="15">
      <c r="D250" s="15"/>
      <c r="E250" s="15"/>
      <c r="F250" s="15"/>
      <c r="G250" s="15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4:17" ht="15">
      <c r="D251" s="15"/>
      <c r="E251" s="15"/>
      <c r="F251" s="15"/>
      <c r="G251" s="15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4:17" ht="15">
      <c r="D252" s="15"/>
      <c r="E252" s="15"/>
      <c r="F252" s="15"/>
      <c r="G252" s="15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4:17" ht="15">
      <c r="D253" s="15"/>
      <c r="E253" s="15"/>
      <c r="F253" s="15"/>
      <c r="G253" s="15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4:17" ht="15">
      <c r="D254" s="15"/>
      <c r="E254" s="15"/>
      <c r="F254" s="15"/>
      <c r="G254" s="15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4:17" ht="15">
      <c r="D255" s="15"/>
      <c r="E255" s="15"/>
      <c r="F255" s="15"/>
      <c r="G255" s="15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4:17" ht="15">
      <c r="D256" s="15"/>
      <c r="E256" s="15"/>
      <c r="F256" s="15"/>
      <c r="G256" s="15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4:17" ht="15">
      <c r="D257" s="15"/>
      <c r="E257" s="15"/>
      <c r="F257" s="15"/>
      <c r="G257" s="15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4:17" ht="15">
      <c r="D258" s="15"/>
      <c r="E258" s="15"/>
      <c r="F258" s="15"/>
      <c r="G258" s="15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4:17" ht="15">
      <c r="D259" s="15"/>
      <c r="E259" s="15"/>
      <c r="F259" s="15"/>
      <c r="G259" s="15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4:17" ht="15">
      <c r="D260" s="15"/>
      <c r="E260" s="15"/>
      <c r="F260" s="15"/>
      <c r="G260" s="15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4:17" ht="15">
      <c r="D261" s="15"/>
      <c r="E261" s="15"/>
      <c r="F261" s="15"/>
      <c r="G261" s="15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4:17" ht="15">
      <c r="D262" s="15"/>
      <c r="E262" s="15"/>
      <c r="F262" s="15"/>
      <c r="G262" s="15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4:17" ht="15">
      <c r="D263" s="15"/>
      <c r="E263" s="15"/>
      <c r="F263" s="15"/>
      <c r="G263" s="15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4:17" ht="15">
      <c r="D264" s="15"/>
      <c r="E264" s="15"/>
      <c r="F264" s="15"/>
      <c r="G264" s="15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4:17" ht="15">
      <c r="D265" s="15"/>
      <c r="E265" s="15"/>
      <c r="F265" s="15"/>
      <c r="G265" s="15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4:17" ht="15">
      <c r="D266" s="15"/>
      <c r="E266" s="15"/>
      <c r="F266" s="15"/>
      <c r="G266" s="15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4:17" ht="15">
      <c r="D267" s="15"/>
      <c r="E267" s="15"/>
      <c r="F267" s="15"/>
      <c r="G267" s="15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4:17" ht="15">
      <c r="D268" s="15"/>
      <c r="E268" s="15"/>
      <c r="F268" s="15"/>
      <c r="G268" s="15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4:17" ht="15">
      <c r="D269" s="15"/>
      <c r="E269" s="15"/>
      <c r="F269" s="15"/>
      <c r="G269" s="15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4:17" ht="15">
      <c r="D270" s="15"/>
      <c r="E270" s="15"/>
      <c r="F270" s="15"/>
      <c r="G270" s="15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4:17" ht="15">
      <c r="D271" s="15"/>
      <c r="E271" s="15"/>
      <c r="F271" s="15"/>
      <c r="G271" s="15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4:17" ht="15">
      <c r="D272" s="15"/>
      <c r="E272" s="15"/>
      <c r="F272" s="15"/>
      <c r="G272" s="15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4:17" ht="15">
      <c r="D273" s="15"/>
      <c r="E273" s="15"/>
      <c r="F273" s="15"/>
      <c r="G273" s="15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4:17" ht="15">
      <c r="D274" s="15"/>
      <c r="E274" s="15"/>
      <c r="F274" s="15"/>
      <c r="G274" s="15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4:17" ht="15">
      <c r="D275" s="15"/>
      <c r="E275" s="15"/>
      <c r="F275" s="15"/>
      <c r="G275" s="15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4:17" ht="15">
      <c r="D276" s="15"/>
      <c r="E276" s="15"/>
      <c r="F276" s="15"/>
      <c r="G276" s="15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4:17" ht="15">
      <c r="D277" s="15"/>
      <c r="E277" s="15"/>
      <c r="F277" s="15"/>
      <c r="G277" s="15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4:17" ht="15">
      <c r="D278" s="15"/>
      <c r="E278" s="15"/>
      <c r="F278" s="15"/>
      <c r="G278" s="15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4:17" ht="15">
      <c r="D279" s="15"/>
      <c r="E279" s="15"/>
      <c r="F279" s="15"/>
      <c r="G279" s="15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4:17" ht="15">
      <c r="D280" s="15"/>
      <c r="E280" s="15"/>
      <c r="F280" s="15"/>
      <c r="G280" s="15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4:17" ht="15">
      <c r="D281" s="15"/>
      <c r="E281" s="15"/>
      <c r="F281" s="15"/>
      <c r="G281" s="15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4:17" ht="15">
      <c r="D282" s="15"/>
      <c r="E282" s="15"/>
      <c r="F282" s="15"/>
      <c r="G282" s="15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4:17" ht="15">
      <c r="D283" s="15"/>
      <c r="E283" s="15"/>
      <c r="F283" s="15"/>
      <c r="G283" s="15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4:17" ht="15">
      <c r="D284" s="15"/>
      <c r="E284" s="15"/>
      <c r="F284" s="15"/>
      <c r="G284" s="15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4:17" ht="15">
      <c r="D285" s="15"/>
      <c r="E285" s="15"/>
      <c r="F285" s="15"/>
      <c r="G285" s="15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4:17" ht="15">
      <c r="D286" s="15"/>
      <c r="E286" s="15"/>
      <c r="F286" s="15"/>
      <c r="G286" s="15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4:17" ht="15">
      <c r="D287" s="15"/>
      <c r="E287" s="15"/>
      <c r="F287" s="15"/>
      <c r="G287" s="15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4:17" ht="15">
      <c r="D288" s="15"/>
      <c r="E288" s="15"/>
      <c r="F288" s="15"/>
      <c r="G288" s="15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4:17" ht="15">
      <c r="D289" s="15"/>
      <c r="E289" s="15"/>
      <c r="F289" s="15"/>
      <c r="G289" s="15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4:17" ht="15">
      <c r="D290" s="15"/>
      <c r="E290" s="15"/>
      <c r="F290" s="15"/>
      <c r="G290" s="15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4:17" ht="15">
      <c r="D291" s="15"/>
      <c r="E291" s="15"/>
      <c r="F291" s="15"/>
      <c r="G291" s="15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4:17" ht="15">
      <c r="D292" s="15"/>
      <c r="E292" s="15"/>
      <c r="F292" s="15"/>
      <c r="G292" s="15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4:17" ht="15">
      <c r="D293" s="15"/>
      <c r="E293" s="15"/>
      <c r="F293" s="15"/>
      <c r="G293" s="15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4:17" ht="15">
      <c r="D294" s="15"/>
      <c r="E294" s="15"/>
      <c r="F294" s="15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4:17" ht="15">
      <c r="D295" s="15"/>
      <c r="E295" s="15"/>
      <c r="F295" s="15"/>
      <c r="G295" s="15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4:17" ht="15">
      <c r="D296" s="15"/>
      <c r="E296" s="15"/>
      <c r="F296" s="15"/>
      <c r="G296" s="15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4:17" ht="15">
      <c r="D297" s="15"/>
      <c r="E297" s="15"/>
      <c r="F297" s="15"/>
      <c r="G297" s="15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4:17" ht="15">
      <c r="D298" s="15"/>
      <c r="E298" s="15"/>
      <c r="F298" s="15"/>
      <c r="G298" s="15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4:17" ht="15">
      <c r="D299" s="15"/>
      <c r="E299" s="15"/>
      <c r="F299" s="15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4:17" ht="15">
      <c r="D300" s="15"/>
      <c r="E300" s="15"/>
      <c r="F300" s="15"/>
      <c r="G300" s="15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4:17" ht="15">
      <c r="D301" s="15"/>
      <c r="E301" s="15"/>
      <c r="F301" s="15"/>
      <c r="G301" s="15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4:17" ht="15">
      <c r="D302" s="15"/>
      <c r="E302" s="15"/>
      <c r="F302" s="15"/>
      <c r="G302" s="15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4:17" ht="15">
      <c r="D303" s="15"/>
      <c r="E303" s="15"/>
      <c r="F303" s="15"/>
      <c r="G303" s="15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4:17" ht="15">
      <c r="D304" s="15"/>
      <c r="E304" s="15"/>
      <c r="F304" s="15"/>
      <c r="G304" s="15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4:17" ht="15">
      <c r="D305" s="15"/>
      <c r="E305" s="15"/>
      <c r="F305" s="15"/>
      <c r="G305" s="15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4:17" ht="15">
      <c r="D306" s="15"/>
      <c r="E306" s="15"/>
      <c r="F306" s="15"/>
      <c r="G306" s="15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4:17" ht="15">
      <c r="D307" s="15"/>
      <c r="E307" s="15"/>
      <c r="F307" s="15"/>
      <c r="G307" s="15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4:17" ht="15">
      <c r="D308" s="15"/>
      <c r="E308" s="15"/>
      <c r="F308" s="15"/>
      <c r="G308" s="15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4:17" ht="15">
      <c r="D309" s="15"/>
      <c r="E309" s="15"/>
      <c r="F309" s="15"/>
      <c r="G309" s="15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4:17" ht="15">
      <c r="D310" s="15"/>
      <c r="E310" s="15"/>
      <c r="F310" s="15"/>
      <c r="G310" s="15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4:17" ht="15">
      <c r="D311" s="15"/>
      <c r="E311" s="15"/>
      <c r="F311" s="15"/>
      <c r="G311" s="15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4:17" ht="15">
      <c r="D312" s="15"/>
      <c r="E312" s="15"/>
      <c r="F312" s="15"/>
      <c r="G312" s="15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4:17" ht="15">
      <c r="D313" s="15"/>
      <c r="E313" s="15"/>
      <c r="F313" s="15"/>
      <c r="G313" s="15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4:17" ht="15">
      <c r="D314" s="15"/>
      <c r="E314" s="15"/>
      <c r="F314" s="15"/>
      <c r="G314" s="15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4:17" ht="15">
      <c r="D315" s="15"/>
      <c r="E315" s="15"/>
      <c r="F315" s="15"/>
      <c r="G315" s="15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4:17" ht="15">
      <c r="D316" s="15"/>
      <c r="E316" s="15"/>
      <c r="F316" s="15"/>
      <c r="G316" s="15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4:17" ht="15">
      <c r="D317" s="15"/>
      <c r="E317" s="15"/>
      <c r="F317" s="15"/>
      <c r="G317" s="15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4:17" ht="15">
      <c r="D318" s="15"/>
      <c r="E318" s="15"/>
      <c r="F318" s="15"/>
      <c r="G318" s="15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4:17" ht="15">
      <c r="D319" s="15"/>
      <c r="E319" s="15"/>
      <c r="F319" s="15"/>
      <c r="G319" s="15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4:17" ht="15">
      <c r="D320" s="15"/>
      <c r="E320" s="15"/>
      <c r="F320" s="15"/>
      <c r="G320" s="15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4:17" ht="15">
      <c r="D321" s="15"/>
      <c r="E321" s="15"/>
      <c r="F321" s="15"/>
      <c r="G321" s="15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4:17" ht="15">
      <c r="D322" s="15"/>
      <c r="E322" s="15"/>
      <c r="F322" s="15"/>
      <c r="G322" s="15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4:17" ht="15">
      <c r="D323" s="15"/>
      <c r="E323" s="15"/>
      <c r="F323" s="15"/>
      <c r="G323" s="15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4:17" ht="15">
      <c r="D324" s="15"/>
      <c r="E324" s="15"/>
      <c r="F324" s="15"/>
      <c r="G324" s="15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4:17" ht="15">
      <c r="D325" s="15"/>
      <c r="E325" s="15"/>
      <c r="F325" s="15"/>
      <c r="G325" s="15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4:17" ht="15">
      <c r="D326" s="15"/>
      <c r="E326" s="15"/>
      <c r="F326" s="15"/>
      <c r="G326" s="15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4:17" ht="15">
      <c r="D327" s="15"/>
      <c r="E327" s="15"/>
      <c r="F327" s="15"/>
      <c r="G327" s="15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4:17" ht="15">
      <c r="D328" s="15"/>
      <c r="E328" s="15"/>
      <c r="F328" s="15"/>
      <c r="G328" s="15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4:17" ht="15">
      <c r="D329" s="15"/>
      <c r="E329" s="15"/>
      <c r="F329" s="15"/>
      <c r="G329" s="15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4:17" ht="15">
      <c r="D330" s="15"/>
      <c r="E330" s="15"/>
      <c r="F330" s="15"/>
      <c r="G330" s="15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4:17" ht="15">
      <c r="D331" s="15"/>
      <c r="E331" s="15"/>
      <c r="F331" s="15"/>
      <c r="G331" s="15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4:17" ht="15">
      <c r="D332" s="15"/>
      <c r="E332" s="15"/>
      <c r="F332" s="15"/>
      <c r="G332" s="15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4:17" ht="15">
      <c r="D333" s="15"/>
      <c r="E333" s="15"/>
      <c r="F333" s="15"/>
      <c r="G333" s="15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4:17" ht="15">
      <c r="D334" s="15"/>
      <c r="E334" s="15"/>
      <c r="F334" s="15"/>
      <c r="G334" s="15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4:17" ht="15">
      <c r="D335" s="15"/>
      <c r="E335" s="15"/>
      <c r="F335" s="15"/>
      <c r="G335" s="15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4:17" ht="15">
      <c r="D336" s="15"/>
      <c r="E336" s="15"/>
      <c r="F336" s="15"/>
      <c r="G336" s="15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4:17" ht="15">
      <c r="D337" s="15"/>
      <c r="E337" s="15"/>
      <c r="F337" s="15"/>
      <c r="G337" s="15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4:17" ht="15">
      <c r="D338" s="15"/>
      <c r="E338" s="15"/>
      <c r="F338" s="15"/>
      <c r="G338" s="15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4:17" ht="15">
      <c r="D339" s="15"/>
      <c r="E339" s="15"/>
      <c r="F339" s="15"/>
      <c r="G339" s="15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4:17" ht="15">
      <c r="D340" s="15"/>
      <c r="E340" s="15"/>
      <c r="F340" s="15"/>
      <c r="G340" s="15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4:17" ht="15">
      <c r="D341" s="15"/>
      <c r="E341" s="15"/>
      <c r="F341" s="15"/>
      <c r="G341" s="15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4:17" ht="15">
      <c r="D342" s="15"/>
      <c r="E342" s="15"/>
      <c r="F342" s="15"/>
      <c r="G342" s="15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4:17" ht="15">
      <c r="D343" s="15"/>
      <c r="E343" s="15"/>
      <c r="F343" s="15"/>
      <c r="G343" s="15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4:17" ht="15">
      <c r="D344" s="15"/>
      <c r="E344" s="15"/>
      <c r="F344" s="15"/>
      <c r="G344" s="15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4:17" ht="15">
      <c r="D345" s="15"/>
      <c r="E345" s="15"/>
      <c r="F345" s="15"/>
      <c r="G345" s="15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4:17" ht="15">
      <c r="D346" s="15"/>
      <c r="E346" s="15"/>
      <c r="F346" s="15"/>
      <c r="G346" s="15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4:17" ht="15">
      <c r="D347" s="15"/>
      <c r="E347" s="15"/>
      <c r="F347" s="15"/>
      <c r="G347" s="15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4:17" ht="15">
      <c r="D348" s="15"/>
      <c r="E348" s="15"/>
      <c r="F348" s="15"/>
      <c r="G348" s="15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4:17" ht="15">
      <c r="D349" s="15"/>
      <c r="E349" s="15"/>
      <c r="F349" s="15"/>
      <c r="G349" s="15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4:17" ht="15">
      <c r="D350" s="15"/>
      <c r="E350" s="15"/>
      <c r="F350" s="15"/>
      <c r="G350" s="15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4:17" ht="15">
      <c r="D351" s="15"/>
      <c r="E351" s="15"/>
      <c r="F351" s="15"/>
      <c r="G351" s="15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4:17" ht="15">
      <c r="D352" s="15"/>
      <c r="E352" s="15"/>
      <c r="F352" s="15"/>
      <c r="G352" s="15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4:17" ht="15">
      <c r="D353" s="15"/>
      <c r="E353" s="15"/>
      <c r="F353" s="15"/>
      <c r="G353" s="15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4:17" ht="15">
      <c r="D354" s="15"/>
      <c r="E354" s="15"/>
      <c r="F354" s="15"/>
      <c r="G354" s="15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4:17" ht="15">
      <c r="D355" s="15"/>
      <c r="E355" s="15"/>
      <c r="F355" s="15"/>
      <c r="G355" s="15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4:17" ht="15">
      <c r="D356" s="15"/>
      <c r="E356" s="15"/>
      <c r="F356" s="15"/>
      <c r="G356" s="15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4:17" ht="15">
      <c r="D357" s="15"/>
      <c r="E357" s="15"/>
      <c r="F357" s="15"/>
      <c r="G357" s="15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4:17" ht="15">
      <c r="D358" s="15"/>
      <c r="E358" s="15"/>
      <c r="F358" s="15"/>
      <c r="G358" s="15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4:17" ht="15">
      <c r="D359" s="15"/>
      <c r="E359" s="15"/>
      <c r="F359" s="15"/>
      <c r="G359" s="15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4:17" ht="15">
      <c r="D360" s="15"/>
      <c r="E360" s="15"/>
      <c r="F360" s="15"/>
      <c r="G360" s="15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4:17" ht="15">
      <c r="D361" s="15"/>
      <c r="E361" s="15"/>
      <c r="F361" s="15"/>
      <c r="G361" s="15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4:17" ht="15">
      <c r="D362" s="15"/>
      <c r="E362" s="15"/>
      <c r="F362" s="15"/>
      <c r="G362" s="15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4:17" ht="15">
      <c r="D363" s="15"/>
      <c r="E363" s="15"/>
      <c r="F363" s="15"/>
      <c r="G363" s="15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4:17" ht="15">
      <c r="D364" s="15"/>
      <c r="E364" s="15"/>
      <c r="F364" s="15"/>
      <c r="G364" s="15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4:17" ht="15">
      <c r="D365" s="15"/>
      <c r="E365" s="15"/>
      <c r="F365" s="15"/>
      <c r="G365" s="15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4:17" ht="15">
      <c r="D366" s="15"/>
      <c r="E366" s="15"/>
      <c r="F366" s="15"/>
      <c r="G366" s="15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4:17" ht="15">
      <c r="D367" s="15"/>
      <c r="E367" s="15"/>
      <c r="F367" s="15"/>
      <c r="G367" s="15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4:17" ht="15">
      <c r="D368" s="15"/>
      <c r="E368" s="15"/>
      <c r="F368" s="15"/>
      <c r="G368" s="15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4:17" ht="15">
      <c r="D369" s="15"/>
      <c r="E369" s="15"/>
      <c r="F369" s="15"/>
      <c r="G369" s="15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4:17" ht="15">
      <c r="D370" s="15"/>
      <c r="E370" s="15"/>
      <c r="F370" s="15"/>
      <c r="G370" s="15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4:17" ht="15">
      <c r="D371" s="15"/>
      <c r="E371" s="15"/>
      <c r="F371" s="15"/>
      <c r="G371" s="15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4:17" ht="15">
      <c r="D372" s="15"/>
      <c r="E372" s="15"/>
      <c r="F372" s="15"/>
      <c r="G372" s="15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4:17" ht="15">
      <c r="D373" s="15"/>
      <c r="E373" s="15"/>
      <c r="F373" s="15"/>
      <c r="G373" s="15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4:17" ht="15">
      <c r="D374" s="15"/>
      <c r="E374" s="15"/>
      <c r="F374" s="15"/>
      <c r="G374" s="15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4:17" ht="15">
      <c r="D375" s="15"/>
      <c r="E375" s="15"/>
      <c r="F375" s="15"/>
      <c r="G375" s="15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4:17" ht="15">
      <c r="D376" s="15"/>
      <c r="E376" s="15"/>
      <c r="F376" s="15"/>
      <c r="G376" s="15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4:17" ht="15">
      <c r="D377" s="15"/>
      <c r="E377" s="15"/>
      <c r="F377" s="15"/>
      <c r="G377" s="15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4:17" ht="15">
      <c r="D378" s="15"/>
      <c r="E378" s="15"/>
      <c r="F378" s="15"/>
      <c r="G378" s="15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4:17" ht="15">
      <c r="D379" s="15"/>
      <c r="E379" s="15"/>
      <c r="F379" s="15"/>
      <c r="G379" s="15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4:17" ht="15">
      <c r="D380" s="15"/>
      <c r="E380" s="15"/>
      <c r="F380" s="15"/>
      <c r="G380" s="15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4:17" ht="15">
      <c r="D381" s="15"/>
      <c r="E381" s="15"/>
      <c r="F381" s="15"/>
      <c r="G381" s="15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4:17" ht="15">
      <c r="D382" s="15"/>
      <c r="E382" s="15"/>
      <c r="F382" s="15"/>
      <c r="G382" s="15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4:17" ht="15">
      <c r="D383" s="15"/>
      <c r="E383" s="15"/>
      <c r="F383" s="15"/>
      <c r="G383" s="15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4:17" ht="15">
      <c r="D384" s="15"/>
      <c r="E384" s="15"/>
      <c r="F384" s="15"/>
      <c r="G384" s="15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4:17" ht="15">
      <c r="D385" s="15"/>
      <c r="E385" s="15"/>
      <c r="F385" s="15"/>
      <c r="G385" s="15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4:17" ht="15">
      <c r="D386" s="15"/>
      <c r="E386" s="15"/>
      <c r="F386" s="15"/>
      <c r="G386" s="15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4:17" ht="15">
      <c r="D387" s="15"/>
      <c r="E387" s="15"/>
      <c r="F387" s="15"/>
      <c r="G387" s="15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4:17" ht="15">
      <c r="D388" s="15"/>
      <c r="E388" s="15"/>
      <c r="F388" s="15"/>
      <c r="G388" s="15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4:17" ht="15">
      <c r="D389" s="15"/>
      <c r="E389" s="15"/>
      <c r="F389" s="15"/>
      <c r="G389" s="15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4:17" ht="15">
      <c r="D390" s="15"/>
      <c r="E390" s="15"/>
      <c r="F390" s="15"/>
      <c r="G390" s="15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4:17" ht="15">
      <c r="D391" s="15"/>
      <c r="E391" s="15"/>
      <c r="F391" s="15"/>
      <c r="G391" s="15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4:17" ht="15">
      <c r="D392" s="15"/>
      <c r="E392" s="15"/>
      <c r="F392" s="15"/>
      <c r="G392" s="15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4:17" ht="15">
      <c r="D393" s="15"/>
      <c r="E393" s="15"/>
      <c r="F393" s="15"/>
      <c r="G393" s="15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4:17" ht="15">
      <c r="D394" s="15"/>
      <c r="E394" s="15"/>
      <c r="F394" s="15"/>
      <c r="G394" s="15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4:17" ht="15">
      <c r="D395" s="15"/>
      <c r="E395" s="15"/>
      <c r="F395" s="15"/>
      <c r="G395" s="15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4:17" ht="15">
      <c r="D396" s="15"/>
      <c r="E396" s="15"/>
      <c r="F396" s="15"/>
      <c r="G396" s="15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4:17" ht="15">
      <c r="D397" s="15"/>
      <c r="E397" s="15"/>
      <c r="F397" s="15"/>
      <c r="G397" s="15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4:17" ht="15">
      <c r="D398" s="15"/>
      <c r="E398" s="15"/>
      <c r="F398" s="15"/>
      <c r="G398" s="15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4:17" ht="15">
      <c r="D399" s="15"/>
      <c r="E399" s="15"/>
      <c r="F399" s="15"/>
      <c r="G399" s="15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4:17" ht="15">
      <c r="D400" s="15"/>
      <c r="E400" s="15"/>
      <c r="F400" s="15"/>
      <c r="G400" s="15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4:17" ht="15">
      <c r="D401" s="15"/>
      <c r="E401" s="15"/>
      <c r="F401" s="15"/>
      <c r="G401" s="15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4:17" ht="15">
      <c r="D402" s="15"/>
      <c r="E402" s="15"/>
      <c r="F402" s="15"/>
      <c r="G402" s="15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4:17" ht="15">
      <c r="D403" s="15"/>
      <c r="E403" s="15"/>
      <c r="F403" s="15"/>
      <c r="G403" s="15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4:17" ht="15">
      <c r="D404" s="15"/>
      <c r="E404" s="15"/>
      <c r="F404" s="15"/>
      <c r="G404" s="15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4:17" ht="15">
      <c r="D405" s="15"/>
      <c r="E405" s="15"/>
      <c r="F405" s="15"/>
      <c r="G405" s="15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4:17" ht="15">
      <c r="D406" s="15"/>
      <c r="E406" s="15"/>
      <c r="F406" s="15"/>
      <c r="G406" s="15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4:17" ht="15">
      <c r="D407" s="15"/>
      <c r="E407" s="15"/>
      <c r="F407" s="15"/>
      <c r="G407" s="15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4:17" ht="15">
      <c r="D408" s="15"/>
      <c r="E408" s="15"/>
      <c r="F408" s="15"/>
      <c r="G408" s="15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4:17" ht="15">
      <c r="D409" s="15"/>
      <c r="E409" s="15"/>
      <c r="F409" s="15"/>
      <c r="G409" s="15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4:17" ht="15">
      <c r="D410" s="15"/>
      <c r="E410" s="15"/>
      <c r="F410" s="15"/>
      <c r="G410" s="15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4:17" ht="15">
      <c r="D411" s="15"/>
      <c r="E411" s="15"/>
      <c r="F411" s="15"/>
      <c r="G411" s="15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4:17" ht="15">
      <c r="D412" s="15"/>
      <c r="E412" s="15"/>
      <c r="F412" s="15"/>
      <c r="G412" s="15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4:17" ht="15">
      <c r="D413" s="15"/>
      <c r="E413" s="15"/>
      <c r="F413" s="15"/>
      <c r="G413" s="15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4:17" ht="15">
      <c r="D414" s="15"/>
      <c r="E414" s="15"/>
      <c r="F414" s="15"/>
      <c r="G414" s="15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4:17" ht="15">
      <c r="D415" s="15"/>
      <c r="E415" s="15"/>
      <c r="F415" s="15"/>
      <c r="G415" s="15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4:17" ht="15">
      <c r="D416" s="15"/>
      <c r="E416" s="15"/>
      <c r="F416" s="15"/>
      <c r="G416" s="15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4:17" ht="15">
      <c r="D417" s="15"/>
      <c r="E417" s="15"/>
      <c r="F417" s="15"/>
      <c r="G417" s="15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4:17" ht="15">
      <c r="D418" s="15"/>
      <c r="E418" s="15"/>
      <c r="F418" s="15"/>
      <c r="G418" s="15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4:17" ht="15">
      <c r="D419" s="15"/>
      <c r="E419" s="15"/>
      <c r="F419" s="15"/>
      <c r="G419" s="15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4:17" ht="15">
      <c r="D420" s="15"/>
      <c r="E420" s="15"/>
      <c r="F420" s="15"/>
      <c r="G420" s="15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4:17" ht="15">
      <c r="D421" s="15"/>
      <c r="E421" s="15"/>
      <c r="F421" s="15"/>
      <c r="G421" s="15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4:17" ht="15">
      <c r="D422" s="15"/>
      <c r="E422" s="15"/>
      <c r="F422" s="15"/>
      <c r="G422" s="15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4:17" ht="15">
      <c r="D423" s="15"/>
      <c r="E423" s="15"/>
      <c r="F423" s="15"/>
      <c r="G423" s="15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4:17" ht="15">
      <c r="D424" s="15"/>
      <c r="E424" s="15"/>
      <c r="F424" s="15"/>
      <c r="G424" s="15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4:17" ht="15">
      <c r="D425" s="15"/>
      <c r="E425" s="15"/>
      <c r="F425" s="15"/>
      <c r="G425" s="15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4:17" ht="15">
      <c r="D426" s="15"/>
      <c r="E426" s="15"/>
      <c r="F426" s="15"/>
      <c r="G426" s="15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4:17" ht="15">
      <c r="D427" s="15"/>
      <c r="E427" s="15"/>
      <c r="F427" s="15"/>
      <c r="G427" s="15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4:17" ht="15">
      <c r="D428" s="15"/>
      <c r="E428" s="15"/>
      <c r="F428" s="15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4:17" ht="15">
      <c r="D429" s="15"/>
      <c r="E429" s="15"/>
      <c r="F429" s="15"/>
      <c r="G429" s="15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4:17" ht="15">
      <c r="D430" s="15"/>
      <c r="E430" s="15"/>
      <c r="F430" s="15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4:17" ht="15">
      <c r="D431" s="15"/>
      <c r="E431" s="15"/>
      <c r="F431" s="15"/>
      <c r="G431" s="15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4:17" ht="15">
      <c r="D432" s="15"/>
      <c r="E432" s="15"/>
      <c r="F432" s="15"/>
      <c r="G432" s="15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4:17" ht="15">
      <c r="D433" s="15"/>
      <c r="E433" s="15"/>
      <c r="F433" s="15"/>
      <c r="G433" s="15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4:17" ht="15">
      <c r="D434" s="15"/>
      <c r="E434" s="15"/>
      <c r="F434" s="15"/>
      <c r="G434" s="15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4:17" ht="15">
      <c r="D435" s="15"/>
      <c r="E435" s="15"/>
      <c r="F435" s="15"/>
      <c r="G435" s="15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4:17" ht="15">
      <c r="D436" s="15"/>
      <c r="E436" s="15"/>
      <c r="F436" s="15"/>
      <c r="G436" s="15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4:17" ht="15">
      <c r="D437" s="15"/>
      <c r="E437" s="15"/>
      <c r="F437" s="15"/>
      <c r="G437" s="15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4:17" ht="15">
      <c r="D438" s="15"/>
      <c r="E438" s="15"/>
      <c r="F438" s="15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4:17" ht="15">
      <c r="D439" s="15"/>
      <c r="E439" s="15"/>
      <c r="F439" s="15"/>
      <c r="G439" s="15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4:17" ht="15">
      <c r="D440" s="15"/>
      <c r="E440" s="15"/>
      <c r="F440" s="15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4:17" ht="15">
      <c r="D441" s="15"/>
      <c r="E441" s="15"/>
      <c r="F441" s="15"/>
      <c r="G441" s="15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4:17" ht="15">
      <c r="D442" s="15"/>
      <c r="E442" s="15"/>
      <c r="F442" s="15"/>
      <c r="G442" s="15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4:17" ht="15">
      <c r="D443" s="15"/>
      <c r="E443" s="15"/>
      <c r="F443" s="15"/>
      <c r="G443" s="15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4:17" ht="15">
      <c r="D444" s="15"/>
      <c r="E444" s="15"/>
      <c r="F444" s="15"/>
      <c r="G444" s="15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4:17" ht="15">
      <c r="D445" s="15"/>
      <c r="E445" s="15"/>
      <c r="F445" s="15"/>
      <c r="G445" s="15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4:17" ht="15">
      <c r="D446" s="15"/>
      <c r="E446" s="15"/>
      <c r="F446" s="15"/>
      <c r="G446" s="15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4:17" ht="15">
      <c r="D447" s="15"/>
      <c r="E447" s="15"/>
      <c r="F447" s="15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4:17" ht="15">
      <c r="D448" s="15"/>
      <c r="E448" s="15"/>
      <c r="F448" s="15"/>
      <c r="G448" s="15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4:17" ht="15">
      <c r="D449" s="15"/>
      <c r="E449" s="15"/>
      <c r="F449" s="15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4:17" ht="15">
      <c r="D450" s="15"/>
      <c r="E450" s="15"/>
      <c r="F450" s="15"/>
      <c r="G450" s="15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4:17" ht="15">
      <c r="D451" s="15"/>
      <c r="E451" s="15"/>
      <c r="F451" s="15"/>
      <c r="G451" s="15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4:17" ht="15">
      <c r="D452" s="15"/>
      <c r="E452" s="15"/>
      <c r="F452" s="15"/>
      <c r="G452" s="15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4:17" ht="15">
      <c r="D453" s="15"/>
      <c r="E453" s="15"/>
      <c r="F453" s="15"/>
      <c r="G453" s="15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4:17" ht="15">
      <c r="D454" s="15"/>
      <c r="E454" s="15"/>
      <c r="F454" s="15"/>
      <c r="G454" s="15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4:17" ht="15">
      <c r="D455" s="15"/>
      <c r="E455" s="15"/>
      <c r="F455" s="15"/>
      <c r="G455" s="15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4:17" ht="15">
      <c r="D456" s="15"/>
      <c r="E456" s="15"/>
      <c r="F456" s="15"/>
      <c r="G456" s="15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4:17" ht="15">
      <c r="D457" s="15"/>
      <c r="E457" s="15"/>
      <c r="F457" s="15"/>
      <c r="G457" s="15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4:17" ht="15">
      <c r="D458" s="15"/>
      <c r="E458" s="15"/>
      <c r="F458" s="15"/>
      <c r="G458" s="15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4:17" ht="15">
      <c r="D459" s="15"/>
      <c r="E459" s="15"/>
      <c r="F459" s="15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4:17" ht="15">
      <c r="D460" s="15"/>
      <c r="E460" s="15"/>
      <c r="F460" s="15"/>
      <c r="G460" s="15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4:17" ht="15">
      <c r="D461" s="15"/>
      <c r="E461" s="15"/>
      <c r="F461" s="15"/>
      <c r="G461" s="15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4:17" ht="15">
      <c r="D462" s="15"/>
      <c r="E462" s="15"/>
      <c r="F462" s="15"/>
      <c r="G462" s="15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4:17" ht="15">
      <c r="D463" s="15"/>
      <c r="E463" s="15"/>
      <c r="F463" s="15"/>
      <c r="G463" s="15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4:17" ht="15">
      <c r="D464" s="15"/>
      <c r="E464" s="15"/>
      <c r="F464" s="15"/>
      <c r="G464" s="15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4:17" ht="15">
      <c r="D465" s="15"/>
      <c r="E465" s="15"/>
      <c r="F465" s="15"/>
      <c r="G465" s="15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4:17" ht="15">
      <c r="D466" s="15"/>
      <c r="E466" s="15"/>
      <c r="F466" s="15"/>
      <c r="G466" s="15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4:17" ht="15">
      <c r="D467" s="15"/>
      <c r="E467" s="15"/>
      <c r="F467" s="15"/>
      <c r="G467" s="15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4:17" ht="15">
      <c r="D468" s="15"/>
      <c r="E468" s="15"/>
      <c r="F468" s="15"/>
      <c r="G468" s="15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4:17" ht="15">
      <c r="D469" s="15"/>
      <c r="E469" s="15"/>
      <c r="F469" s="15"/>
      <c r="G469" s="15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4:17" ht="15">
      <c r="D470" s="15"/>
      <c r="E470" s="15"/>
      <c r="F470" s="15"/>
      <c r="G470" s="15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4:17" ht="15">
      <c r="D471" s="15"/>
      <c r="E471" s="15"/>
      <c r="F471" s="15"/>
      <c r="G471" s="15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4:17" ht="15">
      <c r="D472" s="15"/>
      <c r="E472" s="15"/>
      <c r="F472" s="15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4:17" ht="15">
      <c r="D473" s="15"/>
      <c r="E473" s="15"/>
      <c r="F473" s="15"/>
      <c r="G473" s="15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4:17" ht="15">
      <c r="D474" s="15"/>
      <c r="E474" s="15"/>
      <c r="F474" s="15"/>
      <c r="G474" s="15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4:17" ht="15">
      <c r="D475" s="15"/>
      <c r="E475" s="15"/>
      <c r="F475" s="15"/>
      <c r="G475" s="15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4:17" ht="15">
      <c r="D476" s="15"/>
      <c r="E476" s="15"/>
      <c r="F476" s="15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4:17" ht="15">
      <c r="D477" s="15"/>
      <c r="E477" s="15"/>
      <c r="F477" s="15"/>
      <c r="G477" s="15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4:17" ht="15">
      <c r="D478" s="15"/>
      <c r="E478" s="15"/>
      <c r="F478" s="15"/>
      <c r="G478" s="15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4:17" ht="15">
      <c r="D479" s="15"/>
      <c r="E479" s="15"/>
      <c r="F479" s="15"/>
      <c r="G479" s="15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4:17" ht="15">
      <c r="D480" s="15"/>
      <c r="E480" s="15"/>
      <c r="F480" s="15"/>
      <c r="G480" s="15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4:17" ht="15">
      <c r="D481" s="15"/>
      <c r="E481" s="15"/>
      <c r="F481" s="15"/>
      <c r="G481" s="15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4:17" ht="15">
      <c r="D482" s="15"/>
      <c r="E482" s="15"/>
      <c r="F482" s="15"/>
      <c r="G482" s="15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4:17" ht="15">
      <c r="D483" s="15"/>
      <c r="E483" s="15"/>
      <c r="F483" s="15"/>
      <c r="G483" s="15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4:17" ht="15">
      <c r="D484" s="15"/>
      <c r="E484" s="15"/>
      <c r="F484" s="15"/>
      <c r="G484" s="15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4:17" ht="15">
      <c r="D485" s="15"/>
      <c r="E485" s="15"/>
      <c r="F485" s="15"/>
      <c r="G485" s="15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4:17" ht="15">
      <c r="D486" s="15"/>
      <c r="E486" s="15"/>
      <c r="F486" s="15"/>
      <c r="G486" s="15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4:17" ht="15">
      <c r="D487" s="15"/>
      <c r="E487" s="15"/>
      <c r="F487" s="15"/>
      <c r="G487" s="15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4:17" ht="15">
      <c r="D488" s="15"/>
      <c r="E488" s="15"/>
      <c r="F488" s="15"/>
      <c r="G488" s="15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4:17" ht="15">
      <c r="D489" s="15"/>
      <c r="E489" s="15"/>
      <c r="F489" s="15"/>
      <c r="G489" s="15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4:17" ht="15">
      <c r="D490" s="15"/>
      <c r="E490" s="15"/>
      <c r="F490" s="15"/>
      <c r="G490" s="15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4:17" ht="15">
      <c r="D491" s="15"/>
      <c r="E491" s="15"/>
      <c r="F491" s="15"/>
      <c r="G491" s="15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4:17" ht="15">
      <c r="D492" s="15"/>
      <c r="E492" s="15"/>
      <c r="F492" s="15"/>
      <c r="G492" s="15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4:17" ht="15">
      <c r="D493" s="15"/>
      <c r="E493" s="15"/>
      <c r="F493" s="15"/>
      <c r="G493" s="15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4:17" ht="15">
      <c r="D494" s="15"/>
      <c r="E494" s="15"/>
      <c r="F494" s="15"/>
      <c r="G494" s="15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4:17" ht="15">
      <c r="D495" s="15"/>
      <c r="E495" s="15"/>
      <c r="F495" s="15"/>
      <c r="G495" s="15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4:17" ht="15">
      <c r="D496" s="15"/>
      <c r="E496" s="15"/>
      <c r="F496" s="15"/>
      <c r="G496" s="15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4:17" ht="15">
      <c r="D497" s="15"/>
      <c r="E497" s="15"/>
      <c r="F497" s="15"/>
      <c r="G497" s="15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4:17" ht="15">
      <c r="D498" s="15"/>
      <c r="E498" s="15"/>
      <c r="F498" s="15"/>
      <c r="G498" s="15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4:17" ht="15">
      <c r="D499" s="15"/>
      <c r="E499" s="15"/>
      <c r="F499" s="15"/>
      <c r="G499" s="15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4:17" ht="15">
      <c r="D500" s="15"/>
      <c r="E500" s="15"/>
      <c r="F500" s="15"/>
      <c r="G500" s="15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4:17" ht="15">
      <c r="D501" s="15"/>
      <c r="E501" s="15"/>
      <c r="F501" s="15"/>
      <c r="G501" s="15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4:17" ht="15">
      <c r="D502" s="15"/>
      <c r="E502" s="15"/>
      <c r="F502" s="15"/>
      <c r="G502" s="15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4:17" ht="15">
      <c r="D503" s="15"/>
      <c r="E503" s="15"/>
      <c r="F503" s="15"/>
      <c r="G503" s="15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4:17" ht="15">
      <c r="D504" s="15"/>
      <c r="E504" s="15"/>
      <c r="F504" s="15"/>
      <c r="G504" s="15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4:17" ht="15">
      <c r="D505" s="15"/>
      <c r="E505" s="15"/>
      <c r="F505" s="15"/>
      <c r="G505" s="15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4:17" ht="15">
      <c r="D506" s="15"/>
      <c r="E506" s="15"/>
      <c r="F506" s="15"/>
      <c r="G506" s="15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4:17" ht="15">
      <c r="D507" s="15"/>
      <c r="E507" s="15"/>
      <c r="F507" s="15"/>
      <c r="G507" s="15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4:17" ht="15">
      <c r="D508" s="15"/>
      <c r="E508" s="15"/>
      <c r="F508" s="15"/>
      <c r="G508" s="15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4:17" ht="15">
      <c r="D509" s="15"/>
      <c r="E509" s="15"/>
      <c r="F509" s="15"/>
      <c r="G509" s="15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4:17" ht="15">
      <c r="D510" s="15"/>
      <c r="E510" s="15"/>
      <c r="F510" s="15"/>
      <c r="G510" s="15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4:17" ht="15">
      <c r="D511" s="15"/>
      <c r="E511" s="15"/>
      <c r="F511" s="15"/>
      <c r="G511" s="15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4:17" ht="15">
      <c r="D512" s="15"/>
      <c r="E512" s="15"/>
      <c r="F512" s="15"/>
      <c r="G512" s="15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4:17" ht="15">
      <c r="D513" s="15"/>
      <c r="E513" s="15"/>
      <c r="F513" s="15"/>
      <c r="G513" s="15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4:17" ht="15">
      <c r="D514" s="15"/>
      <c r="E514" s="15"/>
      <c r="F514" s="15"/>
      <c r="G514" s="15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4:17" ht="15">
      <c r="D515" s="15"/>
      <c r="E515" s="15"/>
      <c r="F515" s="15"/>
      <c r="G515" s="15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4:17" ht="15">
      <c r="D516" s="15"/>
      <c r="E516" s="15"/>
      <c r="F516" s="15"/>
      <c r="G516" s="15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4:17" ht="15">
      <c r="D517" s="15"/>
      <c r="E517" s="15"/>
      <c r="F517" s="15"/>
      <c r="G517" s="15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4:17" ht="15">
      <c r="D518" s="15"/>
      <c r="E518" s="15"/>
      <c r="F518" s="15"/>
      <c r="G518" s="15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4:17" ht="15">
      <c r="D519" s="15"/>
      <c r="E519" s="15"/>
      <c r="F519" s="15"/>
      <c r="G519" s="15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4:17" ht="15">
      <c r="D520" s="15"/>
      <c r="E520" s="15"/>
      <c r="F520" s="15"/>
      <c r="G520" s="15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4:17" ht="15">
      <c r="D521" s="15"/>
      <c r="E521" s="15"/>
      <c r="F521" s="15"/>
      <c r="G521" s="15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4:17" ht="15">
      <c r="D522" s="15"/>
      <c r="E522" s="15"/>
      <c r="F522" s="15"/>
      <c r="G522" s="15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4:17" ht="15">
      <c r="D523" s="15"/>
      <c r="E523" s="15"/>
      <c r="F523" s="15"/>
      <c r="G523" s="15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4:17" ht="15">
      <c r="D524" s="15"/>
      <c r="E524" s="15"/>
      <c r="F524" s="15"/>
      <c r="G524" s="15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4:17" ht="15">
      <c r="D525" s="15"/>
      <c r="E525" s="15"/>
      <c r="F525" s="15"/>
      <c r="G525" s="15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4:17" ht="15">
      <c r="D526" s="15"/>
      <c r="E526" s="15"/>
      <c r="F526" s="15"/>
      <c r="G526" s="15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4:17" ht="15">
      <c r="D527" s="15"/>
      <c r="E527" s="15"/>
      <c r="F527" s="15"/>
      <c r="G527" s="15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4:17" ht="15">
      <c r="D528" s="15"/>
      <c r="E528" s="15"/>
      <c r="F528" s="15"/>
      <c r="G528" s="15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4:17" ht="15">
      <c r="D529" s="15"/>
      <c r="E529" s="15"/>
      <c r="F529" s="15"/>
      <c r="G529" s="15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4:17" ht="15">
      <c r="D530" s="15"/>
      <c r="E530" s="15"/>
      <c r="F530" s="15"/>
      <c r="G530" s="15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4:17" ht="15">
      <c r="D531" s="15"/>
      <c r="E531" s="15"/>
      <c r="F531" s="15"/>
      <c r="G531" s="15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4:17" ht="15">
      <c r="D532" s="15"/>
      <c r="E532" s="15"/>
      <c r="F532" s="15"/>
      <c r="G532" s="15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4:17" ht="15">
      <c r="D533" s="15"/>
      <c r="E533" s="15"/>
      <c r="F533" s="15"/>
      <c r="G533" s="15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4:17" ht="15">
      <c r="D534" s="15"/>
      <c r="E534" s="15"/>
      <c r="F534" s="15"/>
      <c r="G534" s="15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4:17" ht="15">
      <c r="D535" s="15"/>
      <c r="E535" s="15"/>
      <c r="F535" s="15"/>
      <c r="G535" s="15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4:17" ht="15">
      <c r="D536" s="15"/>
      <c r="E536" s="15"/>
      <c r="F536" s="15"/>
      <c r="G536" s="15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4:17" ht="15">
      <c r="D537" s="15"/>
      <c r="E537" s="15"/>
      <c r="F537" s="15"/>
      <c r="G537" s="15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4:17" ht="15">
      <c r="D538" s="15"/>
      <c r="E538" s="15"/>
      <c r="F538" s="15"/>
      <c r="G538" s="15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4:17" ht="15">
      <c r="D539" s="15"/>
      <c r="E539" s="15"/>
      <c r="F539" s="15"/>
      <c r="G539" s="15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4:17" ht="15">
      <c r="D540" s="15"/>
      <c r="E540" s="15"/>
      <c r="F540" s="15"/>
      <c r="G540" s="15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4:17" ht="15">
      <c r="D541" s="15"/>
      <c r="E541" s="15"/>
      <c r="F541" s="15"/>
      <c r="G541" s="15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4:17" ht="15">
      <c r="D542" s="15"/>
      <c r="E542" s="15"/>
      <c r="F542" s="15"/>
      <c r="G542" s="15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4:17" ht="15">
      <c r="D543" s="15"/>
      <c r="E543" s="15"/>
      <c r="F543" s="15"/>
      <c r="G543" s="15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4:17" ht="15">
      <c r="D544" s="15"/>
      <c r="E544" s="15"/>
      <c r="F544" s="15"/>
      <c r="G544" s="15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4:17" ht="15">
      <c r="D545" s="15"/>
      <c r="E545" s="15"/>
      <c r="F545" s="15"/>
      <c r="G545" s="15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4:17" ht="15">
      <c r="D546" s="15"/>
      <c r="E546" s="15"/>
      <c r="F546" s="15"/>
      <c r="G546" s="15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4:17" ht="15">
      <c r="D547" s="15"/>
      <c r="E547" s="15"/>
      <c r="F547" s="15"/>
      <c r="G547" s="15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4:17" ht="15">
      <c r="D548" s="15"/>
      <c r="E548" s="15"/>
      <c r="F548" s="15"/>
      <c r="G548" s="15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4:17" ht="15">
      <c r="D549" s="15"/>
      <c r="E549" s="15"/>
      <c r="F549" s="15"/>
      <c r="G549" s="15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4:17" ht="15">
      <c r="D550" s="15"/>
      <c r="E550" s="15"/>
      <c r="F550" s="15"/>
      <c r="G550" s="15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4:17" ht="15">
      <c r="D551" s="15"/>
      <c r="E551" s="15"/>
      <c r="F551" s="15"/>
      <c r="G551" s="15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4:17" ht="15">
      <c r="D552" s="15"/>
      <c r="E552" s="15"/>
      <c r="F552" s="15"/>
      <c r="G552" s="15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4:17" ht="15">
      <c r="D553" s="15"/>
      <c r="E553" s="15"/>
      <c r="F553" s="15"/>
      <c r="G553" s="15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4:17" ht="15">
      <c r="D554" s="15"/>
      <c r="E554" s="15"/>
      <c r="F554" s="15"/>
      <c r="G554" s="15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4:17" ht="15">
      <c r="D555" s="15"/>
      <c r="E555" s="15"/>
      <c r="F555" s="15"/>
      <c r="G555" s="15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4:17" ht="15">
      <c r="D556" s="15"/>
      <c r="E556" s="15"/>
      <c r="F556" s="15"/>
      <c r="G556" s="15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4:17" ht="15">
      <c r="D557" s="15"/>
      <c r="E557" s="15"/>
      <c r="F557" s="15"/>
      <c r="G557" s="15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4:17" ht="15">
      <c r="D558" s="15"/>
      <c r="E558" s="15"/>
      <c r="F558" s="15"/>
      <c r="G558" s="15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4:17" ht="15">
      <c r="D559" s="15"/>
      <c r="E559" s="15"/>
      <c r="F559" s="15"/>
      <c r="G559" s="15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4:17" ht="15">
      <c r="D560" s="15"/>
      <c r="E560" s="15"/>
      <c r="F560" s="15"/>
      <c r="G560" s="15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4:17" ht="15">
      <c r="D561" s="15"/>
      <c r="E561" s="15"/>
      <c r="F561" s="15"/>
      <c r="G561" s="15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4:17" ht="15">
      <c r="D562" s="15"/>
      <c r="E562" s="15"/>
      <c r="F562" s="15"/>
      <c r="G562" s="15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4:17" ht="15">
      <c r="D563" s="15"/>
      <c r="E563" s="15"/>
      <c r="F563" s="15"/>
      <c r="G563" s="15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4:17" ht="15">
      <c r="D564" s="15"/>
      <c r="E564" s="15"/>
      <c r="F564" s="15"/>
      <c r="G564" s="15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4:17" ht="15">
      <c r="D565" s="15"/>
      <c r="E565" s="15"/>
      <c r="F565" s="15"/>
      <c r="G565" s="15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4:17" ht="15">
      <c r="D566" s="15"/>
      <c r="E566" s="15"/>
      <c r="F566" s="15"/>
      <c r="G566" s="15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4:17" ht="15">
      <c r="D567" s="15"/>
      <c r="E567" s="15"/>
      <c r="F567" s="15"/>
      <c r="G567" s="15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4:17" ht="15">
      <c r="D568" s="15"/>
      <c r="E568" s="15"/>
      <c r="F568" s="15"/>
      <c r="G568" s="15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4:17" ht="15">
      <c r="D569" s="15"/>
      <c r="E569" s="15"/>
      <c r="F569" s="15"/>
      <c r="G569" s="15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4:17" ht="15">
      <c r="D570" s="15"/>
      <c r="E570" s="15"/>
      <c r="F570" s="15"/>
      <c r="G570" s="15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4:17" ht="15">
      <c r="D571" s="15"/>
      <c r="E571" s="15"/>
      <c r="F571" s="15"/>
      <c r="G571" s="15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4:17" ht="15">
      <c r="D572" s="15"/>
      <c r="E572" s="15"/>
      <c r="F572" s="15"/>
      <c r="G572" s="15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4:17" ht="15">
      <c r="D573" s="15"/>
      <c r="E573" s="15"/>
      <c r="F573" s="15"/>
      <c r="G573" s="15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4:17" ht="15">
      <c r="D574" s="15"/>
      <c r="E574" s="15"/>
      <c r="F574" s="15"/>
      <c r="G574" s="15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4:17" ht="15">
      <c r="D575" s="15"/>
      <c r="E575" s="15"/>
      <c r="F575" s="15"/>
      <c r="G575" s="15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4:17" ht="15">
      <c r="D576" s="15"/>
      <c r="E576" s="15"/>
      <c r="F576" s="15"/>
      <c r="G576" s="15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4:17" ht="15">
      <c r="D577" s="15"/>
      <c r="E577" s="15"/>
      <c r="F577" s="15"/>
      <c r="G577" s="15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4:17" ht="15">
      <c r="D578" s="15"/>
      <c r="E578" s="15"/>
      <c r="F578" s="15"/>
      <c r="G578" s="15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4:17" ht="15">
      <c r="D579" s="15"/>
      <c r="E579" s="15"/>
      <c r="F579" s="15"/>
      <c r="G579" s="15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4:17" ht="15">
      <c r="D580" s="15"/>
      <c r="E580" s="15"/>
      <c r="F580" s="15"/>
      <c r="G580" s="15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4:17" ht="15">
      <c r="D581" s="15"/>
      <c r="E581" s="15"/>
      <c r="F581" s="15"/>
      <c r="G581" s="15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4:17" ht="15">
      <c r="D582" s="15"/>
      <c r="E582" s="15"/>
      <c r="F582" s="15"/>
      <c r="G582" s="15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4:17" ht="15">
      <c r="D583" s="15"/>
      <c r="E583" s="15"/>
      <c r="F583" s="15"/>
      <c r="G583" s="15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4:17" ht="15">
      <c r="D584" s="15"/>
      <c r="E584" s="15"/>
      <c r="F584" s="15"/>
      <c r="G584" s="15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4:17" ht="15">
      <c r="D585" s="15"/>
      <c r="E585" s="15"/>
      <c r="F585" s="15"/>
      <c r="G585" s="15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4:17" ht="15">
      <c r="D586" s="15"/>
      <c r="E586" s="15"/>
      <c r="F586" s="15"/>
      <c r="G586" s="15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4:17" ht="15">
      <c r="D587" s="15"/>
      <c r="E587" s="15"/>
      <c r="F587" s="15"/>
      <c r="G587" s="15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4:17" ht="15">
      <c r="D588" s="15"/>
      <c r="E588" s="15"/>
      <c r="F588" s="15"/>
      <c r="G588" s="15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4:17" ht="15">
      <c r="D589" s="15"/>
      <c r="E589" s="15"/>
      <c r="F589" s="15"/>
      <c r="G589" s="15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4:17" ht="15">
      <c r="D590" s="15"/>
      <c r="E590" s="15"/>
      <c r="F590" s="15"/>
      <c r="G590" s="15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4:17" ht="15">
      <c r="D591" s="15"/>
      <c r="E591" s="15"/>
      <c r="F591" s="15"/>
      <c r="G591" s="15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4:17" ht="15">
      <c r="D592" s="15"/>
      <c r="E592" s="15"/>
      <c r="F592" s="15"/>
      <c r="G592" s="15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4:17" ht="15">
      <c r="D593" s="15"/>
      <c r="E593" s="15"/>
      <c r="F593" s="15"/>
      <c r="G593" s="15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4:17" ht="15">
      <c r="D594" s="15"/>
      <c r="E594" s="15"/>
      <c r="F594" s="15"/>
      <c r="G594" s="15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4:12" ht="15">
      <c r="D595" s="15"/>
      <c r="E595" s="15"/>
      <c r="F595" s="15"/>
      <c r="G595" s="15"/>
      <c r="H595" s="15"/>
      <c r="I595" s="15"/>
      <c r="J595" s="15"/>
      <c r="K595" s="15"/>
      <c r="L595" s="7"/>
    </row>
    <row r="596" spans="4:12" ht="15">
      <c r="D596" s="15"/>
      <c r="E596" s="15"/>
      <c r="F596" s="15"/>
      <c r="G596" s="15"/>
      <c r="H596" s="15"/>
      <c r="I596" s="15"/>
      <c r="J596" s="15"/>
      <c r="K596" s="15"/>
      <c r="L596" s="7"/>
    </row>
    <row r="597" spans="4:12" ht="15">
      <c r="D597" s="15"/>
      <c r="E597" s="15"/>
      <c r="F597" s="15"/>
      <c r="G597" s="15"/>
      <c r="H597" s="15"/>
      <c r="I597" s="15"/>
      <c r="J597" s="15"/>
      <c r="K597" s="15"/>
      <c r="L597" s="7"/>
    </row>
    <row r="598" spans="4:12" ht="15">
      <c r="D598" s="15"/>
      <c r="E598" s="15"/>
      <c r="F598" s="15"/>
      <c r="G598" s="15"/>
      <c r="H598" s="15"/>
      <c r="I598" s="15"/>
      <c r="J598" s="15"/>
      <c r="K598" s="15"/>
      <c r="L598" s="7"/>
    </row>
    <row r="599" spans="4:12" ht="15">
      <c r="D599" s="15"/>
      <c r="E599" s="15"/>
      <c r="F599" s="15"/>
      <c r="G599" s="15"/>
      <c r="H599" s="15"/>
      <c r="I599" s="15"/>
      <c r="J599" s="15"/>
      <c r="K599" s="15"/>
      <c r="L599" s="7"/>
    </row>
    <row r="600" spans="4:12" ht="15">
      <c r="D600" s="15"/>
      <c r="E600" s="15"/>
      <c r="F600" s="15"/>
      <c r="G600" s="15"/>
      <c r="H600" s="15"/>
      <c r="I600" s="15"/>
      <c r="J600" s="15"/>
      <c r="K600" s="15"/>
      <c r="L600" s="7"/>
    </row>
    <row r="601" spans="4:12" ht="15">
      <c r="D601" s="15"/>
      <c r="E601" s="15"/>
      <c r="F601" s="15"/>
      <c r="G601" s="15"/>
      <c r="H601" s="15"/>
      <c r="I601" s="15"/>
      <c r="J601" s="15"/>
      <c r="K601" s="15"/>
      <c r="L601" s="7"/>
    </row>
    <row r="602" spans="4:12" ht="15">
      <c r="D602" s="15"/>
      <c r="E602" s="15"/>
      <c r="F602" s="15"/>
      <c r="G602" s="15"/>
      <c r="H602" s="15"/>
      <c r="I602" s="15"/>
      <c r="J602" s="15"/>
      <c r="K602" s="15"/>
      <c r="L602" s="7"/>
    </row>
    <row r="603" spans="4:12" ht="15">
      <c r="D603" s="15"/>
      <c r="E603" s="15"/>
      <c r="F603" s="15"/>
      <c r="G603" s="15"/>
      <c r="H603" s="15"/>
      <c r="I603" s="15"/>
      <c r="J603" s="15"/>
      <c r="K603" s="15"/>
      <c r="L603" s="7"/>
    </row>
    <row r="604" spans="4:12" ht="15">
      <c r="D604" s="15"/>
      <c r="E604" s="15"/>
      <c r="F604" s="15"/>
      <c r="G604" s="15"/>
      <c r="H604" s="15"/>
      <c r="I604" s="15"/>
      <c r="J604" s="15"/>
      <c r="K604" s="15"/>
      <c r="L604" s="7"/>
    </row>
    <row r="605" spans="4:12" ht="15">
      <c r="D605" s="15"/>
      <c r="E605" s="15"/>
      <c r="F605" s="15"/>
      <c r="G605" s="15"/>
      <c r="H605" s="15"/>
      <c r="I605" s="15"/>
      <c r="J605" s="15"/>
      <c r="K605" s="15"/>
      <c r="L605" s="7"/>
    </row>
    <row r="606" spans="4:12" ht="15">
      <c r="D606" s="15"/>
      <c r="E606" s="15"/>
      <c r="F606" s="15"/>
      <c r="G606" s="15"/>
      <c r="H606" s="15"/>
      <c r="I606" s="15"/>
      <c r="J606" s="15"/>
      <c r="K606" s="15"/>
      <c r="L606" s="7"/>
    </row>
    <row r="607" spans="4:12" ht="15">
      <c r="D607" s="15"/>
      <c r="E607" s="15"/>
      <c r="F607" s="15"/>
      <c r="G607" s="15"/>
      <c r="H607" s="15"/>
      <c r="I607" s="15"/>
      <c r="J607" s="15"/>
      <c r="K607" s="15"/>
      <c r="L607" s="7"/>
    </row>
    <row r="608" spans="4:12" ht="15">
      <c r="D608" s="15"/>
      <c r="E608" s="15"/>
      <c r="F608" s="15"/>
      <c r="G608" s="15"/>
      <c r="H608" s="15"/>
      <c r="I608" s="15"/>
      <c r="J608" s="15"/>
      <c r="K608" s="15"/>
      <c r="L608" s="7"/>
    </row>
    <row r="609" spans="4:12" ht="15">
      <c r="D609" s="15"/>
      <c r="E609" s="15"/>
      <c r="F609" s="15"/>
      <c r="G609" s="15"/>
      <c r="H609" s="15"/>
      <c r="I609" s="15"/>
      <c r="J609" s="15"/>
      <c r="K609" s="15"/>
      <c r="L609" s="7"/>
    </row>
    <row r="610" spans="4:12" ht="15">
      <c r="D610" s="15"/>
      <c r="E610" s="15"/>
      <c r="F610" s="15"/>
      <c r="G610" s="15"/>
      <c r="H610" s="15"/>
      <c r="I610" s="15"/>
      <c r="J610" s="15"/>
      <c r="K610" s="15"/>
      <c r="L610" s="7"/>
    </row>
    <row r="611" spans="4:12" ht="15">
      <c r="D611" s="15"/>
      <c r="E611" s="15"/>
      <c r="F611" s="15"/>
      <c r="G611" s="15"/>
      <c r="H611" s="15"/>
      <c r="I611" s="15"/>
      <c r="J611" s="15"/>
      <c r="K611" s="15"/>
      <c r="L611" s="7"/>
    </row>
    <row r="612" spans="4:12" ht="15">
      <c r="D612" s="15"/>
      <c r="E612" s="15"/>
      <c r="F612" s="15"/>
      <c r="G612" s="15"/>
      <c r="H612" s="15"/>
      <c r="I612" s="15"/>
      <c r="J612" s="15"/>
      <c r="K612" s="15"/>
      <c r="L612" s="7"/>
    </row>
    <row r="613" spans="4:12" ht="15">
      <c r="D613" s="15"/>
      <c r="E613" s="15"/>
      <c r="F613" s="15"/>
      <c r="G613" s="15"/>
      <c r="H613" s="15"/>
      <c r="I613" s="15"/>
      <c r="J613" s="15"/>
      <c r="K613" s="15"/>
      <c r="L613" s="7"/>
    </row>
    <row r="614" spans="4:12" ht="15">
      <c r="D614" s="15"/>
      <c r="E614" s="15"/>
      <c r="F614" s="15"/>
      <c r="G614" s="15"/>
      <c r="H614" s="15"/>
      <c r="I614" s="15"/>
      <c r="J614" s="15"/>
      <c r="K614" s="15"/>
      <c r="L614" s="7"/>
    </row>
    <row r="615" spans="4:12" ht="15">
      <c r="D615" s="15"/>
      <c r="E615" s="15"/>
      <c r="F615" s="15"/>
      <c r="G615" s="15"/>
      <c r="H615" s="15"/>
      <c r="I615" s="15"/>
      <c r="J615" s="15"/>
      <c r="K615" s="15"/>
      <c r="L615" s="7"/>
    </row>
    <row r="616" spans="4:12" ht="15">
      <c r="D616" s="15"/>
      <c r="E616" s="15"/>
      <c r="F616" s="15"/>
      <c r="G616" s="15"/>
      <c r="H616" s="15"/>
      <c r="I616" s="15"/>
      <c r="J616" s="15"/>
      <c r="K616" s="15"/>
      <c r="L616" s="7"/>
    </row>
    <row r="617" spans="4:12" ht="15">
      <c r="D617" s="15"/>
      <c r="E617" s="15"/>
      <c r="F617" s="15"/>
      <c r="G617" s="15"/>
      <c r="H617" s="15"/>
      <c r="I617" s="15"/>
      <c r="J617" s="15"/>
      <c r="K617" s="15"/>
      <c r="L617" s="7"/>
    </row>
    <row r="618" spans="4:12" ht="15">
      <c r="D618" s="15"/>
      <c r="E618" s="15"/>
      <c r="F618" s="15"/>
      <c r="G618" s="15"/>
      <c r="H618" s="15"/>
      <c r="I618" s="15"/>
      <c r="J618" s="15"/>
      <c r="K618" s="15"/>
      <c r="L618" s="7"/>
    </row>
    <row r="619" spans="4:12" ht="15">
      <c r="D619" s="15"/>
      <c r="E619" s="15"/>
      <c r="F619" s="15"/>
      <c r="G619" s="15"/>
      <c r="H619" s="15"/>
      <c r="I619" s="15"/>
      <c r="J619" s="15"/>
      <c r="K619" s="15"/>
      <c r="L619" s="7"/>
    </row>
    <row r="620" spans="4:12" ht="15">
      <c r="D620" s="15"/>
      <c r="E620" s="15"/>
      <c r="F620" s="15"/>
      <c r="G620" s="15"/>
      <c r="H620" s="15"/>
      <c r="I620" s="15"/>
      <c r="J620" s="15"/>
      <c r="K620" s="15"/>
      <c r="L620" s="7"/>
    </row>
    <row r="621" spans="4:12" ht="15">
      <c r="D621" s="15"/>
      <c r="E621" s="15"/>
      <c r="F621" s="15"/>
      <c r="G621" s="15"/>
      <c r="H621" s="15"/>
      <c r="I621" s="15"/>
      <c r="J621" s="15"/>
      <c r="K621" s="15"/>
      <c r="L621" s="7"/>
    </row>
    <row r="622" spans="4:12" ht="15">
      <c r="D622" s="15"/>
      <c r="E622" s="15"/>
      <c r="F622" s="15"/>
      <c r="G622" s="15"/>
      <c r="H622" s="15"/>
      <c r="I622" s="15"/>
      <c r="J622" s="15"/>
      <c r="K622" s="15"/>
      <c r="L622" s="7"/>
    </row>
    <row r="623" spans="4:12" ht="15">
      <c r="D623" s="15"/>
      <c r="E623" s="15"/>
      <c r="F623" s="15"/>
      <c r="G623" s="15"/>
      <c r="H623" s="15"/>
      <c r="I623" s="15"/>
      <c r="J623" s="15"/>
      <c r="K623" s="15"/>
      <c r="L623" s="7"/>
    </row>
    <row r="624" spans="4:12" ht="15">
      <c r="D624" s="15"/>
      <c r="E624" s="15"/>
      <c r="F624" s="15"/>
      <c r="G624" s="15"/>
      <c r="H624" s="15"/>
      <c r="I624" s="15"/>
      <c r="J624" s="15"/>
      <c r="K624" s="15"/>
      <c r="L624" s="7"/>
    </row>
    <row r="625" spans="4:12" ht="15">
      <c r="D625" s="15"/>
      <c r="E625" s="15"/>
      <c r="F625" s="15"/>
      <c r="G625" s="15"/>
      <c r="H625" s="15"/>
      <c r="I625" s="15"/>
      <c r="J625" s="15"/>
      <c r="K625" s="15"/>
      <c r="L625" s="7"/>
    </row>
    <row r="626" spans="4:12" ht="15">
      <c r="D626" s="15"/>
      <c r="E626" s="15"/>
      <c r="F626" s="15"/>
      <c r="G626" s="15"/>
      <c r="H626" s="15"/>
      <c r="I626" s="15"/>
      <c r="J626" s="15"/>
      <c r="K626" s="15"/>
      <c r="L626" s="7"/>
    </row>
    <row r="627" spans="4:12" ht="15">
      <c r="D627" s="15"/>
      <c r="E627" s="15"/>
      <c r="F627" s="15"/>
      <c r="G627" s="15"/>
      <c r="H627" s="15"/>
      <c r="I627" s="15"/>
      <c r="J627" s="15"/>
      <c r="K627" s="15"/>
      <c r="L627" s="7"/>
    </row>
    <row r="628" spans="4:12" ht="15">
      <c r="D628" s="15"/>
      <c r="E628" s="15"/>
      <c r="F628" s="15"/>
      <c r="G628" s="15"/>
      <c r="H628" s="15"/>
      <c r="I628" s="15"/>
      <c r="J628" s="15"/>
      <c r="K628" s="15"/>
      <c r="L628" s="7"/>
    </row>
    <row r="629" spans="4:12" ht="15">
      <c r="D629" s="15"/>
      <c r="E629" s="15"/>
      <c r="F629" s="15"/>
      <c r="G629" s="15"/>
      <c r="H629" s="15"/>
      <c r="I629" s="15"/>
      <c r="J629" s="15"/>
      <c r="K629" s="15"/>
      <c r="L629" s="7"/>
    </row>
    <row r="630" spans="4:12" ht="15">
      <c r="D630" s="15"/>
      <c r="E630" s="15"/>
      <c r="F630" s="15"/>
      <c r="G630" s="15"/>
      <c r="H630" s="15"/>
      <c r="I630" s="15"/>
      <c r="J630" s="15"/>
      <c r="K630" s="15"/>
      <c r="L630" s="7"/>
    </row>
    <row r="631" spans="4:12" ht="15">
      <c r="D631" s="15"/>
      <c r="E631" s="15"/>
      <c r="F631" s="15"/>
      <c r="G631" s="15"/>
      <c r="H631" s="15"/>
      <c r="I631" s="15"/>
      <c r="J631" s="15"/>
      <c r="K631" s="15"/>
      <c r="L631" s="7"/>
    </row>
    <row r="632" spans="4:12" ht="15">
      <c r="D632" s="15"/>
      <c r="E632" s="15"/>
      <c r="F632" s="15"/>
      <c r="G632" s="15"/>
      <c r="H632" s="15"/>
      <c r="I632" s="15"/>
      <c r="J632" s="15"/>
      <c r="K632" s="15"/>
      <c r="L632" s="7"/>
    </row>
    <row r="633" spans="4:12" ht="15">
      <c r="D633" s="15"/>
      <c r="E633" s="15"/>
      <c r="F633" s="15"/>
      <c r="G633" s="15"/>
      <c r="H633" s="15"/>
      <c r="I633" s="15"/>
      <c r="J633" s="15"/>
      <c r="K633" s="15"/>
      <c r="L633" s="7"/>
    </row>
    <row r="634" spans="4:12" ht="15">
      <c r="D634" s="15"/>
      <c r="E634" s="15"/>
      <c r="F634" s="15"/>
      <c r="G634" s="15"/>
      <c r="H634" s="15"/>
      <c r="I634" s="15"/>
      <c r="J634" s="15"/>
      <c r="K634" s="15"/>
      <c r="L634" s="7"/>
    </row>
    <row r="635" spans="4:12" ht="15">
      <c r="D635" s="15"/>
      <c r="E635" s="15"/>
      <c r="F635" s="15"/>
      <c r="G635" s="15"/>
      <c r="H635" s="15"/>
      <c r="I635" s="15"/>
      <c r="J635" s="15"/>
      <c r="K635" s="15"/>
      <c r="L635" s="7"/>
    </row>
    <row r="636" spans="4:12" ht="15">
      <c r="D636" s="15"/>
      <c r="E636" s="15"/>
      <c r="F636" s="15"/>
      <c r="G636" s="15"/>
      <c r="H636" s="15"/>
      <c r="I636" s="15"/>
      <c r="J636" s="15"/>
      <c r="K636" s="15"/>
      <c r="L636" s="7"/>
    </row>
    <row r="637" spans="4:12" ht="15">
      <c r="D637" s="15"/>
      <c r="E637" s="15"/>
      <c r="F637" s="15"/>
      <c r="G637" s="15"/>
      <c r="H637" s="15"/>
      <c r="I637" s="15"/>
      <c r="J637" s="15"/>
      <c r="K637" s="15"/>
      <c r="L637" s="7"/>
    </row>
    <row r="638" spans="4:12" ht="15">
      <c r="D638" s="15"/>
      <c r="E638" s="15"/>
      <c r="F638" s="15"/>
      <c r="G638" s="15"/>
      <c r="H638" s="15"/>
      <c r="I638" s="15"/>
      <c r="J638" s="15"/>
      <c r="K638" s="15"/>
      <c r="L638" s="7"/>
    </row>
    <row r="639" spans="4:12" ht="15">
      <c r="D639" s="15"/>
      <c r="E639" s="15"/>
      <c r="F639" s="15"/>
      <c r="G639" s="15"/>
      <c r="H639" s="15"/>
      <c r="I639" s="15"/>
      <c r="J639" s="15"/>
      <c r="K639" s="15"/>
      <c r="L639" s="7"/>
    </row>
    <row r="640" spans="4:12" ht="15">
      <c r="D640" s="15"/>
      <c r="E640" s="15"/>
      <c r="F640" s="15"/>
      <c r="G640" s="15"/>
      <c r="H640" s="15"/>
      <c r="I640" s="15"/>
      <c r="J640" s="15"/>
      <c r="K640" s="15"/>
      <c r="L640" s="7"/>
    </row>
    <row r="641" spans="4:12" ht="15">
      <c r="D641" s="15"/>
      <c r="E641" s="15"/>
      <c r="F641" s="15"/>
      <c r="G641" s="15"/>
      <c r="H641" s="15"/>
      <c r="I641" s="15"/>
      <c r="J641" s="15"/>
      <c r="K641" s="15"/>
      <c r="L641" s="7"/>
    </row>
    <row r="642" spans="4:12" ht="15">
      <c r="D642" s="15"/>
      <c r="E642" s="15"/>
      <c r="F642" s="15"/>
      <c r="G642" s="15"/>
      <c r="H642" s="15"/>
      <c r="I642" s="15"/>
      <c r="J642" s="15"/>
      <c r="K642" s="15"/>
      <c r="L642" s="7"/>
    </row>
    <row r="643" spans="4:12" ht="15">
      <c r="D643" s="15"/>
      <c r="E643" s="15"/>
      <c r="F643" s="15"/>
      <c r="G643" s="15"/>
      <c r="H643" s="15"/>
      <c r="I643" s="15"/>
      <c r="J643" s="15"/>
      <c r="K643" s="15"/>
      <c r="L643" s="7"/>
    </row>
    <row r="644" spans="4:12" ht="15">
      <c r="D644" s="15"/>
      <c r="E644" s="15"/>
      <c r="F644" s="15"/>
      <c r="G644" s="15"/>
      <c r="H644" s="15"/>
      <c r="I644" s="15"/>
      <c r="J644" s="15"/>
      <c r="K644" s="15"/>
      <c r="L644" s="7"/>
    </row>
    <row r="645" spans="4:12" ht="15">
      <c r="D645" s="15"/>
      <c r="E645" s="15"/>
      <c r="F645" s="15"/>
      <c r="G645" s="15"/>
      <c r="H645" s="15"/>
      <c r="I645" s="15"/>
      <c r="J645" s="15"/>
      <c r="K645" s="15"/>
      <c r="L645" s="7"/>
    </row>
    <row r="646" spans="4:12" ht="15">
      <c r="D646" s="15"/>
      <c r="E646" s="15"/>
      <c r="F646" s="15"/>
      <c r="G646" s="15"/>
      <c r="H646" s="15"/>
      <c r="I646" s="15"/>
      <c r="J646" s="15"/>
      <c r="K646" s="15"/>
      <c r="L646" s="7"/>
    </row>
    <row r="647" spans="4:12" ht="15">
      <c r="D647" s="15"/>
      <c r="E647" s="15"/>
      <c r="F647" s="15"/>
      <c r="G647" s="15"/>
      <c r="H647" s="15"/>
      <c r="I647" s="15"/>
      <c r="J647" s="15"/>
      <c r="K647" s="15"/>
      <c r="L647" s="7"/>
    </row>
    <row r="648" spans="4:12" ht="15">
      <c r="D648" s="15"/>
      <c r="E648" s="15"/>
      <c r="F648" s="15"/>
      <c r="G648" s="15"/>
      <c r="H648" s="15"/>
      <c r="I648" s="15"/>
      <c r="J648" s="15"/>
      <c r="K648" s="15"/>
      <c r="L648" s="7"/>
    </row>
    <row r="649" spans="4:12" ht="15">
      <c r="D649" s="15"/>
      <c r="E649" s="15"/>
      <c r="F649" s="15"/>
      <c r="G649" s="15"/>
      <c r="H649" s="15"/>
      <c r="I649" s="15"/>
      <c r="J649" s="15"/>
      <c r="K649" s="15"/>
      <c r="L649" s="7"/>
    </row>
    <row r="650" spans="4:12" ht="15">
      <c r="D650" s="15"/>
      <c r="E650" s="15"/>
      <c r="F650" s="15"/>
      <c r="G650" s="15"/>
      <c r="H650" s="15"/>
      <c r="I650" s="15"/>
      <c r="J650" s="15"/>
      <c r="K650" s="15"/>
      <c r="L650" s="7"/>
    </row>
    <row r="651" spans="4:12" ht="15">
      <c r="D651" s="15"/>
      <c r="E651" s="15"/>
      <c r="F651" s="15"/>
      <c r="G651" s="15"/>
      <c r="H651" s="15"/>
      <c r="I651" s="15"/>
      <c r="J651" s="15"/>
      <c r="K651" s="15"/>
      <c r="L651" s="7"/>
    </row>
    <row r="652" spans="4:12" ht="15">
      <c r="D652" s="15"/>
      <c r="E652" s="15"/>
      <c r="F652" s="15"/>
      <c r="G652" s="15"/>
      <c r="H652" s="15"/>
      <c r="I652" s="15"/>
      <c r="J652" s="15"/>
      <c r="K652" s="15"/>
      <c r="L652" s="7"/>
    </row>
    <row r="653" spans="4:12" ht="15">
      <c r="D653" s="15"/>
      <c r="E653" s="15"/>
      <c r="F653" s="15"/>
      <c r="G653" s="15"/>
      <c r="H653" s="15"/>
      <c r="I653" s="15"/>
      <c r="J653" s="15"/>
      <c r="K653" s="15"/>
      <c r="L653" s="7"/>
    </row>
    <row r="654" spans="4:12" ht="15">
      <c r="D654" s="15"/>
      <c r="E654" s="15"/>
      <c r="F654" s="15"/>
      <c r="G654" s="15"/>
      <c r="H654" s="15"/>
      <c r="I654" s="15"/>
      <c r="J654" s="15"/>
      <c r="K654" s="15"/>
      <c r="L654" s="7"/>
    </row>
    <row r="655" spans="4:12" ht="15">
      <c r="D655" s="15"/>
      <c r="E655" s="15"/>
      <c r="F655" s="15"/>
      <c r="G655" s="15"/>
      <c r="H655" s="15"/>
      <c r="I655" s="15"/>
      <c r="J655" s="15"/>
      <c r="K655" s="15"/>
      <c r="L655" s="7"/>
    </row>
    <row r="656" spans="4:12" ht="15">
      <c r="D656" s="15"/>
      <c r="E656" s="15"/>
      <c r="F656" s="15"/>
      <c r="G656" s="15"/>
      <c r="H656" s="15"/>
      <c r="I656" s="15"/>
      <c r="J656" s="15"/>
      <c r="K656" s="15"/>
      <c r="L656" s="7"/>
    </row>
    <row r="657" spans="4:12" ht="15">
      <c r="D657" s="15"/>
      <c r="E657" s="15"/>
      <c r="F657" s="15"/>
      <c r="G657" s="15"/>
      <c r="H657" s="15"/>
      <c r="I657" s="15"/>
      <c r="J657" s="15"/>
      <c r="K657" s="15"/>
      <c r="L657" s="7"/>
    </row>
    <row r="658" spans="4:12" ht="15">
      <c r="D658" s="15"/>
      <c r="E658" s="15"/>
      <c r="F658" s="15"/>
      <c r="G658" s="15"/>
      <c r="H658" s="15"/>
      <c r="I658" s="15"/>
      <c r="J658" s="15"/>
      <c r="K658" s="15"/>
      <c r="L658" s="7"/>
    </row>
    <row r="659" spans="4:12" ht="15">
      <c r="D659" s="15"/>
      <c r="E659" s="15"/>
      <c r="F659" s="15"/>
      <c r="G659" s="15"/>
      <c r="H659" s="15"/>
      <c r="I659" s="15"/>
      <c r="J659" s="15"/>
      <c r="K659" s="15"/>
      <c r="L659" s="7"/>
    </row>
    <row r="660" spans="4:12" ht="15">
      <c r="D660" s="15"/>
      <c r="E660" s="15"/>
      <c r="F660" s="15"/>
      <c r="G660" s="15"/>
      <c r="H660" s="15"/>
      <c r="I660" s="15"/>
      <c r="J660" s="15"/>
      <c r="K660" s="15"/>
      <c r="L660" s="7"/>
    </row>
    <row r="661" spans="4:12" ht="15">
      <c r="D661" s="15"/>
      <c r="E661" s="15"/>
      <c r="F661" s="15"/>
      <c r="G661" s="15"/>
      <c r="H661" s="15"/>
      <c r="I661" s="15"/>
      <c r="J661" s="15"/>
      <c r="K661" s="15"/>
      <c r="L661" s="7"/>
    </row>
    <row r="662" spans="4:12" ht="15">
      <c r="D662" s="15"/>
      <c r="E662" s="15"/>
      <c r="F662" s="15"/>
      <c r="G662" s="15"/>
      <c r="H662" s="15"/>
      <c r="I662" s="15"/>
      <c r="J662" s="15"/>
      <c r="K662" s="15"/>
      <c r="L662" s="7"/>
    </row>
    <row r="663" spans="4:12" ht="15">
      <c r="D663" s="15"/>
      <c r="E663" s="15"/>
      <c r="F663" s="15"/>
      <c r="G663" s="15"/>
      <c r="H663" s="15"/>
      <c r="I663" s="15"/>
      <c r="J663" s="15"/>
      <c r="K663" s="15"/>
      <c r="L663" s="7"/>
    </row>
    <row r="664" spans="4:12" ht="15">
      <c r="D664" s="15"/>
      <c r="E664" s="15"/>
      <c r="F664" s="15"/>
      <c r="G664" s="15"/>
      <c r="H664" s="15"/>
      <c r="I664" s="15"/>
      <c r="J664" s="15"/>
      <c r="K664" s="15"/>
      <c r="L664" s="7"/>
    </row>
    <row r="665" spans="4:12" ht="15">
      <c r="D665" s="15"/>
      <c r="E665" s="15"/>
      <c r="F665" s="15"/>
      <c r="G665" s="15"/>
      <c r="H665" s="15"/>
      <c r="I665" s="15"/>
      <c r="J665" s="15"/>
      <c r="K665" s="15"/>
      <c r="L665" s="7"/>
    </row>
    <row r="666" spans="4:12" ht="15">
      <c r="D666" s="15"/>
      <c r="E666" s="15"/>
      <c r="F666" s="15"/>
      <c r="G666" s="15"/>
      <c r="H666" s="15"/>
      <c r="I666" s="15"/>
      <c r="J666" s="15"/>
      <c r="K666" s="15"/>
      <c r="L666" s="7"/>
    </row>
    <row r="667" spans="4:12" ht="15">
      <c r="D667" s="15"/>
      <c r="E667" s="15"/>
      <c r="F667" s="15"/>
      <c r="G667" s="15"/>
      <c r="H667" s="15"/>
      <c r="I667" s="15"/>
      <c r="J667" s="15"/>
      <c r="K667" s="15"/>
      <c r="L667" s="7"/>
    </row>
    <row r="668" spans="4:12" ht="15">
      <c r="D668" s="15"/>
      <c r="E668" s="15"/>
      <c r="F668" s="15"/>
      <c r="G668" s="15"/>
      <c r="H668" s="15"/>
      <c r="I668" s="15"/>
      <c r="J668" s="15"/>
      <c r="K668" s="15"/>
      <c r="L668" s="7"/>
    </row>
    <row r="669" spans="4:12" ht="15">
      <c r="D669" s="15"/>
      <c r="E669" s="15"/>
      <c r="F669" s="15"/>
      <c r="G669" s="15"/>
      <c r="H669" s="15"/>
      <c r="I669" s="15"/>
      <c r="J669" s="15"/>
      <c r="K669" s="15"/>
      <c r="L669" s="7"/>
    </row>
    <row r="670" spans="4:12" ht="15">
      <c r="D670" s="15"/>
      <c r="E670" s="15"/>
      <c r="F670" s="15"/>
      <c r="G670" s="15"/>
      <c r="H670" s="15"/>
      <c r="I670" s="15"/>
      <c r="J670" s="15"/>
      <c r="K670" s="15"/>
      <c r="L670" s="7"/>
    </row>
    <row r="671" spans="4:12" ht="15">
      <c r="D671" s="15"/>
      <c r="E671" s="15"/>
      <c r="F671" s="15"/>
      <c r="G671" s="15"/>
      <c r="H671" s="15"/>
      <c r="I671" s="15"/>
      <c r="J671" s="15"/>
      <c r="K671" s="15"/>
      <c r="L671" s="7"/>
    </row>
    <row r="672" spans="4:12" ht="15">
      <c r="D672" s="15"/>
      <c r="E672" s="15"/>
      <c r="F672" s="15"/>
      <c r="G672" s="15"/>
      <c r="H672" s="15"/>
      <c r="I672" s="15"/>
      <c r="J672" s="15"/>
      <c r="K672" s="15"/>
      <c r="L672" s="7"/>
    </row>
    <row r="673" spans="4:12" ht="15">
      <c r="D673" s="15"/>
      <c r="E673" s="15"/>
      <c r="F673" s="15"/>
      <c r="G673" s="15"/>
      <c r="H673" s="15"/>
      <c r="I673" s="15"/>
      <c r="J673" s="15"/>
      <c r="K673" s="15"/>
      <c r="L673" s="7"/>
    </row>
    <row r="674" spans="4:12" ht="15">
      <c r="D674" s="15"/>
      <c r="E674" s="15"/>
      <c r="F674" s="15"/>
      <c r="G674" s="15"/>
      <c r="H674" s="15"/>
      <c r="I674" s="15"/>
      <c r="J674" s="15"/>
      <c r="K674" s="15"/>
      <c r="L674" s="7"/>
    </row>
    <row r="675" spans="4:12" ht="15">
      <c r="D675" s="15"/>
      <c r="E675" s="15"/>
      <c r="F675" s="15"/>
      <c r="G675" s="15"/>
      <c r="H675" s="15"/>
      <c r="I675" s="15"/>
      <c r="J675" s="15"/>
      <c r="K675" s="15"/>
      <c r="L675" s="7"/>
    </row>
    <row r="676" spans="4:12" ht="15">
      <c r="D676" s="15"/>
      <c r="E676" s="15"/>
      <c r="F676" s="15"/>
      <c r="G676" s="15"/>
      <c r="H676" s="15"/>
      <c r="I676" s="15"/>
      <c r="J676" s="15"/>
      <c r="K676" s="15"/>
      <c r="L676" s="7"/>
    </row>
    <row r="677" spans="4:12" ht="15">
      <c r="D677" s="15"/>
      <c r="E677" s="15"/>
      <c r="F677" s="15"/>
      <c r="G677" s="15"/>
      <c r="H677" s="15"/>
      <c r="I677" s="15"/>
      <c r="J677" s="15"/>
      <c r="K677" s="15"/>
      <c r="L677" s="7"/>
    </row>
    <row r="678" spans="4:12" ht="15">
      <c r="D678" s="15"/>
      <c r="E678" s="15"/>
      <c r="F678" s="15"/>
      <c r="G678" s="15"/>
      <c r="H678" s="15"/>
      <c r="I678" s="15"/>
      <c r="J678" s="15"/>
      <c r="K678" s="15"/>
      <c r="L678" s="7"/>
    </row>
    <row r="679" spans="4:12" ht="15">
      <c r="D679" s="15"/>
      <c r="E679" s="15"/>
      <c r="F679" s="15"/>
      <c r="G679" s="15"/>
      <c r="H679" s="15"/>
      <c r="I679" s="15"/>
      <c r="J679" s="15"/>
      <c r="K679" s="15"/>
      <c r="L679" s="7"/>
    </row>
    <row r="680" spans="4:12" ht="15">
      <c r="D680" s="15"/>
      <c r="E680" s="15"/>
      <c r="F680" s="15"/>
      <c r="G680" s="15"/>
      <c r="H680" s="15"/>
      <c r="I680" s="15"/>
      <c r="J680" s="15"/>
      <c r="K680" s="15"/>
      <c r="L680" s="7"/>
    </row>
    <row r="681" spans="4:12" ht="15">
      <c r="D681" s="15"/>
      <c r="E681" s="15"/>
      <c r="F681" s="15"/>
      <c r="G681" s="15"/>
      <c r="H681" s="15"/>
      <c r="I681" s="15"/>
      <c r="J681" s="15"/>
      <c r="K681" s="15"/>
      <c r="L681" s="7"/>
    </row>
    <row r="682" spans="4:12" ht="15">
      <c r="D682" s="15"/>
      <c r="E682" s="15"/>
      <c r="F682" s="15"/>
      <c r="G682" s="15"/>
      <c r="H682" s="15"/>
      <c r="I682" s="15"/>
      <c r="J682" s="15"/>
      <c r="K682" s="15"/>
      <c r="L682" s="7"/>
    </row>
    <row r="683" spans="4:12" ht="15">
      <c r="D683" s="15"/>
      <c r="E683" s="15"/>
      <c r="F683" s="15"/>
      <c r="G683" s="15"/>
      <c r="H683" s="15"/>
      <c r="I683" s="15"/>
      <c r="J683" s="15"/>
      <c r="K683" s="15"/>
      <c r="L683" s="7"/>
    </row>
    <row r="684" spans="4:12" ht="15">
      <c r="D684" s="15"/>
      <c r="E684" s="15"/>
      <c r="F684" s="15"/>
      <c r="G684" s="15"/>
      <c r="H684" s="15"/>
      <c r="I684" s="15"/>
      <c r="J684" s="15"/>
      <c r="K684" s="15"/>
      <c r="L684" s="7"/>
    </row>
    <row r="685" spans="4:12" ht="15">
      <c r="D685" s="15"/>
      <c r="E685" s="15"/>
      <c r="F685" s="15"/>
      <c r="G685" s="15"/>
      <c r="H685" s="15"/>
      <c r="I685" s="15"/>
      <c r="J685" s="15"/>
      <c r="K685" s="15"/>
      <c r="L685" s="7"/>
    </row>
    <row r="686" spans="4:12" ht="15">
      <c r="D686" s="15"/>
      <c r="E686" s="15"/>
      <c r="F686" s="15"/>
      <c r="G686" s="15"/>
      <c r="H686" s="15"/>
      <c r="I686" s="15"/>
      <c r="J686" s="15"/>
      <c r="K686" s="15"/>
      <c r="L686" s="7"/>
    </row>
    <row r="687" spans="4:12" ht="15">
      <c r="D687" s="15"/>
      <c r="E687" s="15"/>
      <c r="F687" s="15"/>
      <c r="G687" s="15"/>
      <c r="H687" s="15"/>
      <c r="I687" s="15"/>
      <c r="J687" s="15"/>
      <c r="K687" s="15"/>
      <c r="L687" s="7"/>
    </row>
    <row r="688" spans="4:12" ht="15">
      <c r="D688" s="15"/>
      <c r="E688" s="15"/>
      <c r="F688" s="15"/>
      <c r="G688" s="15"/>
      <c r="H688" s="15"/>
      <c r="I688" s="15"/>
      <c r="J688" s="15"/>
      <c r="K688" s="15"/>
      <c r="L688" s="7"/>
    </row>
    <row r="689" spans="4:12" ht="15">
      <c r="D689" s="15"/>
      <c r="E689" s="15"/>
      <c r="F689" s="15"/>
      <c r="G689" s="15"/>
      <c r="H689" s="15"/>
      <c r="I689" s="15"/>
      <c r="J689" s="15"/>
      <c r="K689" s="15"/>
      <c r="L689" s="7"/>
    </row>
    <row r="690" spans="4:12" ht="15">
      <c r="D690" s="15"/>
      <c r="E690" s="15"/>
      <c r="F690" s="15"/>
      <c r="G690" s="15"/>
      <c r="H690" s="15"/>
      <c r="I690" s="15"/>
      <c r="J690" s="15"/>
      <c r="K690" s="15"/>
      <c r="L690" s="7"/>
    </row>
    <row r="691" spans="4:12" ht="15">
      <c r="D691" s="15"/>
      <c r="E691" s="15"/>
      <c r="F691" s="15"/>
      <c r="G691" s="15"/>
      <c r="H691" s="15"/>
      <c r="I691" s="15"/>
      <c r="J691" s="15"/>
      <c r="K691" s="15"/>
      <c r="L691" s="7"/>
    </row>
    <row r="692" spans="4:12" ht="15">
      <c r="D692" s="15"/>
      <c r="E692" s="15"/>
      <c r="F692" s="15"/>
      <c r="G692" s="15"/>
      <c r="H692" s="15"/>
      <c r="I692" s="15"/>
      <c r="J692" s="15"/>
      <c r="K692" s="15"/>
      <c r="L692" s="7"/>
    </row>
    <row r="693" spans="4:12" ht="15">
      <c r="D693" s="15"/>
      <c r="E693" s="15"/>
      <c r="F693" s="15"/>
      <c r="G693" s="15"/>
      <c r="H693" s="15"/>
      <c r="I693" s="15"/>
      <c r="J693" s="15"/>
      <c r="K693" s="15"/>
      <c r="L693" s="7"/>
    </row>
    <row r="694" spans="4:12" ht="15">
      <c r="D694" s="15"/>
      <c r="E694" s="15"/>
      <c r="F694" s="15"/>
      <c r="G694" s="15"/>
      <c r="H694" s="15"/>
      <c r="I694" s="15"/>
      <c r="J694" s="15"/>
      <c r="K694" s="15"/>
      <c r="L694" s="7"/>
    </row>
    <row r="695" spans="4:12" ht="15">
      <c r="D695" s="15"/>
      <c r="E695" s="15"/>
      <c r="F695" s="15"/>
      <c r="G695" s="15"/>
      <c r="H695" s="15"/>
      <c r="I695" s="15"/>
      <c r="J695" s="15"/>
      <c r="K695" s="15"/>
      <c r="L695" s="7"/>
    </row>
    <row r="696" spans="4:12" ht="15">
      <c r="D696" s="15"/>
      <c r="E696" s="15"/>
      <c r="F696" s="15"/>
      <c r="G696" s="15"/>
      <c r="H696" s="15"/>
      <c r="I696" s="15"/>
      <c r="J696" s="15"/>
      <c r="K696" s="15"/>
      <c r="L696" s="7"/>
    </row>
    <row r="697" spans="4:12" ht="15">
      <c r="D697" s="15"/>
      <c r="E697" s="15"/>
      <c r="F697" s="15"/>
      <c r="G697" s="15"/>
      <c r="H697" s="15"/>
      <c r="I697" s="15"/>
      <c r="J697" s="15"/>
      <c r="K697" s="15"/>
      <c r="L697" s="7"/>
    </row>
    <row r="698" spans="4:12" ht="15">
      <c r="D698" s="15"/>
      <c r="E698" s="15"/>
      <c r="F698" s="15"/>
      <c r="G698" s="15"/>
      <c r="H698" s="15"/>
      <c r="I698" s="15"/>
      <c r="J698" s="15"/>
      <c r="K698" s="15"/>
      <c r="L698" s="7"/>
    </row>
    <row r="699" spans="4:12" ht="15">
      <c r="D699" s="15"/>
      <c r="E699" s="15"/>
      <c r="F699" s="15"/>
      <c r="G699" s="15"/>
      <c r="H699" s="15"/>
      <c r="I699" s="15"/>
      <c r="J699" s="15"/>
      <c r="K699" s="15"/>
      <c r="L699" s="7"/>
    </row>
    <row r="700" spans="4:12" ht="15">
      <c r="D700" s="15"/>
      <c r="E700" s="15"/>
      <c r="F700" s="15"/>
      <c r="G700" s="15"/>
      <c r="H700" s="15"/>
      <c r="I700" s="15"/>
      <c r="J700" s="15"/>
      <c r="K700" s="15"/>
      <c r="L700" s="7"/>
    </row>
    <row r="701" spans="4:12" ht="15">
      <c r="D701" s="15"/>
      <c r="E701" s="15"/>
      <c r="F701" s="15"/>
      <c r="G701" s="15"/>
      <c r="H701" s="15"/>
      <c r="I701" s="15"/>
      <c r="J701" s="15"/>
      <c r="K701" s="15"/>
      <c r="L701" s="7"/>
    </row>
    <row r="702" spans="4:12" ht="15">
      <c r="D702" s="15"/>
      <c r="E702" s="15"/>
      <c r="F702" s="15"/>
      <c r="G702" s="15"/>
      <c r="H702" s="15"/>
      <c r="I702" s="15"/>
      <c r="J702" s="15"/>
      <c r="K702" s="15"/>
      <c r="L702" s="7"/>
    </row>
    <row r="703" spans="4:12" ht="15">
      <c r="D703" s="15"/>
      <c r="E703" s="15"/>
      <c r="F703" s="15"/>
      <c r="G703" s="15"/>
      <c r="H703" s="15"/>
      <c r="I703" s="15"/>
      <c r="J703" s="15"/>
      <c r="K703" s="15"/>
      <c r="L703" s="7"/>
    </row>
    <row r="704" spans="4:12" ht="15">
      <c r="D704" s="15"/>
      <c r="E704" s="15"/>
      <c r="F704" s="15"/>
      <c r="G704" s="15"/>
      <c r="H704" s="15"/>
      <c r="I704" s="15"/>
      <c r="J704" s="15"/>
      <c r="K704" s="15"/>
      <c r="L704" s="7"/>
    </row>
    <row r="705" spans="4:12" ht="15">
      <c r="D705" s="15"/>
      <c r="E705" s="15"/>
      <c r="F705" s="15"/>
      <c r="G705" s="15"/>
      <c r="H705" s="15"/>
      <c r="I705" s="15"/>
      <c r="J705" s="15"/>
      <c r="K705" s="15"/>
      <c r="L705" s="7"/>
    </row>
    <row r="706" spans="4:12" ht="15">
      <c r="D706" s="15"/>
      <c r="E706" s="15"/>
      <c r="F706" s="15"/>
      <c r="G706" s="15"/>
      <c r="H706" s="15"/>
      <c r="I706" s="15"/>
      <c r="J706" s="15"/>
      <c r="K706" s="15"/>
      <c r="L706" s="7"/>
    </row>
    <row r="707" spans="4:12" ht="15">
      <c r="D707" s="15"/>
      <c r="E707" s="15"/>
      <c r="F707" s="15"/>
      <c r="G707" s="15"/>
      <c r="H707" s="15"/>
      <c r="I707" s="15"/>
      <c r="J707" s="15"/>
      <c r="K707" s="15"/>
      <c r="L707" s="7"/>
    </row>
    <row r="708" spans="4:12" ht="15">
      <c r="D708" s="15"/>
      <c r="E708" s="15"/>
      <c r="F708" s="15"/>
      <c r="G708" s="15"/>
      <c r="H708" s="15"/>
      <c r="I708" s="15"/>
      <c r="J708" s="15"/>
      <c r="K708" s="15"/>
      <c r="L708" s="7"/>
    </row>
    <row r="709" spans="4:12" ht="15">
      <c r="D709" s="15"/>
      <c r="E709" s="15"/>
      <c r="F709" s="15"/>
      <c r="G709" s="15"/>
      <c r="H709" s="15"/>
      <c r="I709" s="15"/>
      <c r="J709" s="15"/>
      <c r="K709" s="15"/>
      <c r="L709" s="7"/>
    </row>
    <row r="710" spans="4:12" ht="15">
      <c r="D710" s="15"/>
      <c r="E710" s="15"/>
      <c r="F710" s="15"/>
      <c r="G710" s="15"/>
      <c r="H710" s="15"/>
      <c r="I710" s="15"/>
      <c r="J710" s="15"/>
      <c r="K710" s="15"/>
      <c r="L710" s="7"/>
    </row>
    <row r="711" spans="4:12" ht="15">
      <c r="D711" s="15"/>
      <c r="E711" s="15"/>
      <c r="F711" s="15"/>
      <c r="G711" s="15"/>
      <c r="H711" s="15"/>
      <c r="I711" s="15"/>
      <c r="J711" s="15"/>
      <c r="K711" s="15"/>
      <c r="L711" s="7"/>
    </row>
    <row r="712" spans="4:12" ht="15">
      <c r="D712" s="15"/>
      <c r="E712" s="15"/>
      <c r="F712" s="15"/>
      <c r="G712" s="15"/>
      <c r="H712" s="15"/>
      <c r="I712" s="15"/>
      <c r="J712" s="15"/>
      <c r="K712" s="15"/>
      <c r="L712" s="7"/>
    </row>
    <row r="713" spans="4:12" ht="15">
      <c r="D713" s="15"/>
      <c r="E713" s="15"/>
      <c r="F713" s="15"/>
      <c r="G713" s="15"/>
      <c r="H713" s="15"/>
      <c r="I713" s="15"/>
      <c r="J713" s="15"/>
      <c r="K713" s="15"/>
      <c r="L713" s="7"/>
    </row>
    <row r="714" spans="4:12" ht="15">
      <c r="D714" s="15"/>
      <c r="E714" s="15"/>
      <c r="F714" s="15"/>
      <c r="G714" s="15"/>
      <c r="H714" s="15"/>
      <c r="I714" s="15"/>
      <c r="J714" s="15"/>
      <c r="K714" s="15"/>
      <c r="L714" s="7"/>
    </row>
    <row r="715" spans="4:12" ht="15">
      <c r="D715" s="15"/>
      <c r="E715" s="15"/>
      <c r="F715" s="15"/>
      <c r="G715" s="15"/>
      <c r="H715" s="15"/>
      <c r="I715" s="15"/>
      <c r="J715" s="15"/>
      <c r="K715" s="15"/>
      <c r="L715" s="7"/>
    </row>
    <row r="716" spans="4:12" ht="15">
      <c r="D716" s="15"/>
      <c r="E716" s="15"/>
      <c r="F716" s="15"/>
      <c r="G716" s="15"/>
      <c r="H716" s="15"/>
      <c r="I716" s="15"/>
      <c r="J716" s="15"/>
      <c r="K716" s="15"/>
      <c r="L716" s="7"/>
    </row>
    <row r="717" spans="4:12" ht="15">
      <c r="D717" s="15"/>
      <c r="E717" s="15"/>
      <c r="F717" s="15"/>
      <c r="G717" s="15"/>
      <c r="H717" s="15"/>
      <c r="I717" s="15"/>
      <c r="J717" s="15"/>
      <c r="K717" s="15"/>
      <c r="L717" s="7"/>
    </row>
    <row r="718" spans="4:12" ht="15">
      <c r="D718" s="15"/>
      <c r="E718" s="15"/>
      <c r="F718" s="15"/>
      <c r="G718" s="15"/>
      <c r="H718" s="15"/>
      <c r="I718" s="15"/>
      <c r="J718" s="15"/>
      <c r="K718" s="15"/>
      <c r="L718" s="7"/>
    </row>
    <row r="719" spans="4:12" ht="15">
      <c r="D719" s="15"/>
      <c r="E719" s="15"/>
      <c r="F719" s="15"/>
      <c r="G719" s="15"/>
      <c r="H719" s="15"/>
      <c r="I719" s="15"/>
      <c r="J719" s="15"/>
      <c r="K719" s="15"/>
      <c r="L719" s="7"/>
    </row>
    <row r="720" spans="4:12" ht="15">
      <c r="D720" s="15"/>
      <c r="E720" s="15"/>
      <c r="F720" s="15"/>
      <c r="G720" s="15"/>
      <c r="H720" s="15"/>
      <c r="I720" s="15"/>
      <c r="J720" s="15"/>
      <c r="K720" s="15"/>
      <c r="L720" s="7"/>
    </row>
    <row r="721" spans="4:12" ht="15">
      <c r="D721" s="15"/>
      <c r="E721" s="15"/>
      <c r="F721" s="15"/>
      <c r="G721" s="15"/>
      <c r="H721" s="15"/>
      <c r="I721" s="15"/>
      <c r="J721" s="15"/>
      <c r="K721" s="15"/>
      <c r="L721" s="7"/>
    </row>
    <row r="722" spans="4:12" ht="15">
      <c r="D722" s="15"/>
      <c r="E722" s="15"/>
      <c r="F722" s="15"/>
      <c r="G722" s="15"/>
      <c r="H722" s="15"/>
      <c r="I722" s="15"/>
      <c r="J722" s="15"/>
      <c r="K722" s="15"/>
      <c r="L722" s="7"/>
    </row>
    <row r="723" spans="4:12" ht="15">
      <c r="D723" s="15"/>
      <c r="E723" s="15"/>
      <c r="F723" s="15"/>
      <c r="G723" s="15"/>
      <c r="H723" s="15"/>
      <c r="I723" s="15"/>
      <c r="J723" s="15"/>
      <c r="K723" s="15"/>
      <c r="L723" s="7"/>
    </row>
    <row r="724" spans="4:12" ht="15">
      <c r="D724" s="15"/>
      <c r="E724" s="15"/>
      <c r="F724" s="15"/>
      <c r="G724" s="15"/>
      <c r="H724" s="15"/>
      <c r="I724" s="15"/>
      <c r="J724" s="15"/>
      <c r="K724" s="15"/>
      <c r="L724" s="7"/>
    </row>
    <row r="725" spans="4:12" ht="15">
      <c r="D725" s="15"/>
      <c r="E725" s="15"/>
      <c r="F725" s="15"/>
      <c r="G725" s="15"/>
      <c r="H725" s="15"/>
      <c r="I725" s="15"/>
      <c r="J725" s="15"/>
      <c r="K725" s="15"/>
      <c r="L725" s="7"/>
    </row>
    <row r="726" spans="4:12" ht="15">
      <c r="D726" s="15"/>
      <c r="E726" s="15"/>
      <c r="F726" s="15"/>
      <c r="G726" s="15"/>
      <c r="H726" s="15"/>
      <c r="I726" s="15"/>
      <c r="J726" s="15"/>
      <c r="K726" s="15"/>
      <c r="L726" s="7"/>
    </row>
    <row r="727" spans="4:12" ht="15">
      <c r="D727" s="15"/>
      <c r="E727" s="15"/>
      <c r="F727" s="15"/>
      <c r="G727" s="15"/>
      <c r="H727" s="15"/>
      <c r="I727" s="15"/>
      <c r="J727" s="15"/>
      <c r="K727" s="15"/>
      <c r="L727" s="7"/>
    </row>
    <row r="728" spans="4:12" ht="15">
      <c r="D728" s="15"/>
      <c r="E728" s="15"/>
      <c r="F728" s="15"/>
      <c r="G728" s="15"/>
      <c r="H728" s="15"/>
      <c r="I728" s="15"/>
      <c r="J728" s="15"/>
      <c r="K728" s="15"/>
      <c r="L728" s="7"/>
    </row>
    <row r="729" spans="4:12" ht="15">
      <c r="D729" s="15"/>
      <c r="E729" s="15"/>
      <c r="F729" s="15"/>
      <c r="G729" s="15"/>
      <c r="H729" s="15"/>
      <c r="I729" s="15"/>
      <c r="J729" s="15"/>
      <c r="K729" s="15"/>
      <c r="L729" s="7"/>
    </row>
    <row r="730" spans="4:12" ht="15">
      <c r="D730" s="15"/>
      <c r="E730" s="15"/>
      <c r="F730" s="15"/>
      <c r="G730" s="15"/>
      <c r="H730" s="15"/>
      <c r="I730" s="15"/>
      <c r="J730" s="15"/>
      <c r="K730" s="15"/>
      <c r="L730" s="7"/>
    </row>
    <row r="731" spans="4:12" ht="15">
      <c r="D731" s="15"/>
      <c r="E731" s="15"/>
      <c r="F731" s="15"/>
      <c r="G731" s="15"/>
      <c r="H731" s="15"/>
      <c r="I731" s="15"/>
      <c r="J731" s="15"/>
      <c r="K731" s="15"/>
      <c r="L731" s="7"/>
    </row>
    <row r="732" spans="4:12" ht="15">
      <c r="D732" s="15"/>
      <c r="E732" s="15"/>
      <c r="F732" s="15"/>
      <c r="G732" s="15"/>
      <c r="H732" s="15"/>
      <c r="I732" s="15"/>
      <c r="J732" s="15"/>
      <c r="K732" s="15"/>
      <c r="L732" s="7"/>
    </row>
    <row r="733" spans="4:12" ht="15">
      <c r="D733" s="15"/>
      <c r="E733" s="15"/>
      <c r="F733" s="15"/>
      <c r="G733" s="15"/>
      <c r="H733" s="15"/>
      <c r="I733" s="15"/>
      <c r="J733" s="15"/>
      <c r="K733" s="15"/>
      <c r="L733" s="7"/>
    </row>
    <row r="734" spans="4:12" ht="15">
      <c r="D734" s="15"/>
      <c r="E734" s="15"/>
      <c r="F734" s="15"/>
      <c r="G734" s="15"/>
      <c r="H734" s="15"/>
      <c r="I734" s="15"/>
      <c r="J734" s="15"/>
      <c r="K734" s="15"/>
      <c r="L734" s="7"/>
    </row>
    <row r="735" spans="4:12" ht="15">
      <c r="D735" s="15"/>
      <c r="E735" s="15"/>
      <c r="F735" s="15"/>
      <c r="G735" s="15"/>
      <c r="H735" s="15"/>
      <c r="I735" s="15"/>
      <c r="J735" s="15"/>
      <c r="K735" s="15"/>
      <c r="L735" s="7"/>
    </row>
    <row r="736" spans="4:12" ht="15">
      <c r="D736" s="15"/>
      <c r="E736" s="15"/>
      <c r="F736" s="15"/>
      <c r="G736" s="15"/>
      <c r="H736" s="15"/>
      <c r="I736" s="15"/>
      <c r="J736" s="15"/>
      <c r="K736" s="15"/>
      <c r="L736" s="7"/>
    </row>
    <row r="737" spans="4:12" ht="15">
      <c r="D737" s="15"/>
      <c r="E737" s="15"/>
      <c r="F737" s="15"/>
      <c r="G737" s="15"/>
      <c r="H737" s="15"/>
      <c r="I737" s="15"/>
      <c r="J737" s="15"/>
      <c r="K737" s="15"/>
      <c r="L737" s="7"/>
    </row>
    <row r="738" spans="4:12" ht="15">
      <c r="D738" s="15"/>
      <c r="E738" s="15"/>
      <c r="F738" s="15"/>
      <c r="G738" s="15"/>
      <c r="H738" s="15"/>
      <c r="I738" s="15"/>
      <c r="J738" s="15"/>
      <c r="K738" s="15"/>
      <c r="L738" s="7"/>
    </row>
    <row r="739" spans="4:12" ht="15">
      <c r="D739" s="15"/>
      <c r="E739" s="15"/>
      <c r="F739" s="15"/>
      <c r="G739" s="15"/>
      <c r="H739" s="15"/>
      <c r="I739" s="15"/>
      <c r="J739" s="15"/>
      <c r="K739" s="15"/>
      <c r="L739" s="7"/>
    </row>
    <row r="740" spans="4:12" ht="15">
      <c r="D740" s="15"/>
      <c r="E740" s="15"/>
      <c r="F740" s="15"/>
      <c r="G740" s="15"/>
      <c r="H740" s="15"/>
      <c r="I740" s="15"/>
      <c r="J740" s="15"/>
      <c r="K740" s="15"/>
      <c r="L740" s="7"/>
    </row>
    <row r="741" spans="4:12" ht="15">
      <c r="D741" s="15"/>
      <c r="E741" s="15"/>
      <c r="F741" s="15"/>
      <c r="G741" s="15"/>
      <c r="H741" s="15"/>
      <c r="I741" s="15"/>
      <c r="J741" s="15"/>
      <c r="K741" s="15"/>
      <c r="L741" s="7"/>
    </row>
    <row r="742" spans="4:12" ht="15">
      <c r="D742" s="15"/>
      <c r="E742" s="15"/>
      <c r="F742" s="15"/>
      <c r="G742" s="15"/>
      <c r="H742" s="15"/>
      <c r="I742" s="15"/>
      <c r="J742" s="15"/>
      <c r="K742" s="15"/>
      <c r="L742" s="7"/>
    </row>
    <row r="743" spans="4:12" ht="15">
      <c r="D743" s="15"/>
      <c r="E743" s="15"/>
      <c r="F743" s="15"/>
      <c r="G743" s="15"/>
      <c r="H743" s="15"/>
      <c r="I743" s="15"/>
      <c r="J743" s="15"/>
      <c r="K743" s="15"/>
      <c r="L743" s="7"/>
    </row>
    <row r="744" spans="4:12" ht="15">
      <c r="D744" s="15"/>
      <c r="E744" s="15"/>
      <c r="F744" s="15"/>
      <c r="G744" s="15"/>
      <c r="H744" s="15"/>
      <c r="I744" s="15"/>
      <c r="J744" s="15"/>
      <c r="K744" s="15"/>
      <c r="L744" s="7"/>
    </row>
    <row r="745" spans="4:12" ht="15">
      <c r="D745" s="15"/>
      <c r="E745" s="15"/>
      <c r="F745" s="15"/>
      <c r="G745" s="15"/>
      <c r="H745" s="15"/>
      <c r="I745" s="15"/>
      <c r="J745" s="15"/>
      <c r="K745" s="15"/>
      <c r="L745" s="7"/>
    </row>
    <row r="746" spans="4:12" ht="15">
      <c r="D746" s="15"/>
      <c r="E746" s="15"/>
      <c r="F746" s="15"/>
      <c r="G746" s="15"/>
      <c r="H746" s="15"/>
      <c r="I746" s="15"/>
      <c r="J746" s="15"/>
      <c r="K746" s="15"/>
      <c r="L746" s="7"/>
    </row>
    <row r="747" spans="4:12" ht="15">
      <c r="D747" s="15"/>
      <c r="E747" s="15"/>
      <c r="F747" s="15"/>
      <c r="G747" s="15"/>
      <c r="H747" s="15"/>
      <c r="I747" s="15"/>
      <c r="J747" s="15"/>
      <c r="K747" s="15"/>
      <c r="L747" s="7"/>
    </row>
    <row r="748" spans="4:12" ht="15">
      <c r="D748" s="15"/>
      <c r="E748" s="15"/>
      <c r="F748" s="15"/>
      <c r="G748" s="15"/>
      <c r="H748" s="15"/>
      <c r="I748" s="15"/>
      <c r="J748" s="15"/>
      <c r="K748" s="15"/>
      <c r="L748" s="7"/>
    </row>
    <row r="749" spans="4:12" ht="15">
      <c r="D749" s="15"/>
      <c r="E749" s="15"/>
      <c r="F749" s="15"/>
      <c r="G749" s="15"/>
      <c r="H749" s="15"/>
      <c r="I749" s="15"/>
      <c r="J749" s="15"/>
      <c r="K749" s="15"/>
      <c r="L749" s="7"/>
    </row>
    <row r="750" spans="4:12" ht="15">
      <c r="D750" s="15"/>
      <c r="E750" s="15"/>
      <c r="F750" s="15"/>
      <c r="G750" s="15"/>
      <c r="H750" s="15"/>
      <c r="I750" s="15"/>
      <c r="J750" s="15"/>
      <c r="K750" s="15"/>
      <c r="L750" s="7"/>
    </row>
    <row r="751" spans="4:12" ht="15">
      <c r="D751" s="15"/>
      <c r="E751" s="15"/>
      <c r="F751" s="15"/>
      <c r="G751" s="15"/>
      <c r="H751" s="15"/>
      <c r="I751" s="15"/>
      <c r="J751" s="15"/>
      <c r="K751" s="15"/>
      <c r="L751" s="7"/>
    </row>
    <row r="752" spans="4:12" ht="15">
      <c r="D752" s="15"/>
      <c r="E752" s="15"/>
      <c r="F752" s="15"/>
      <c r="G752" s="15"/>
      <c r="H752" s="15"/>
      <c r="I752" s="15"/>
      <c r="J752" s="15"/>
      <c r="K752" s="15"/>
      <c r="L752" s="7"/>
    </row>
    <row r="753" spans="4:12" ht="15">
      <c r="D753" s="15"/>
      <c r="E753" s="15"/>
      <c r="F753" s="15"/>
      <c r="G753" s="15"/>
      <c r="H753" s="15"/>
      <c r="I753" s="15"/>
      <c r="J753" s="15"/>
      <c r="K753" s="15"/>
      <c r="L753" s="7"/>
    </row>
    <row r="754" spans="4:12" ht="15">
      <c r="D754" s="15"/>
      <c r="E754" s="15"/>
      <c r="F754" s="15"/>
      <c r="G754" s="15"/>
      <c r="H754" s="15"/>
      <c r="I754" s="15"/>
      <c r="J754" s="15"/>
      <c r="K754" s="15"/>
      <c r="L754" s="7"/>
    </row>
    <row r="755" spans="4:12" ht="15">
      <c r="D755" s="15"/>
      <c r="E755" s="15"/>
      <c r="F755" s="15"/>
      <c r="G755" s="15"/>
      <c r="H755" s="15"/>
      <c r="I755" s="15"/>
      <c r="J755" s="15"/>
      <c r="K755" s="15"/>
      <c r="L755" s="7"/>
    </row>
    <row r="756" spans="4:12" ht="15">
      <c r="D756" s="15"/>
      <c r="E756" s="15"/>
      <c r="F756" s="15"/>
      <c r="G756" s="15"/>
      <c r="H756" s="15"/>
      <c r="I756" s="15"/>
      <c r="J756" s="15"/>
      <c r="K756" s="15"/>
      <c r="L756" s="7"/>
    </row>
    <row r="757" spans="4:12" ht="15">
      <c r="D757" s="15"/>
      <c r="E757" s="15"/>
      <c r="F757" s="15"/>
      <c r="G757" s="15"/>
      <c r="H757" s="15"/>
      <c r="I757" s="15"/>
      <c r="J757" s="15"/>
      <c r="K757" s="15"/>
      <c r="L757" s="7"/>
    </row>
    <row r="758" spans="4:12" ht="15">
      <c r="D758" s="15"/>
      <c r="E758" s="15"/>
      <c r="F758" s="15"/>
      <c r="G758" s="15"/>
      <c r="H758" s="15"/>
      <c r="I758" s="15"/>
      <c r="J758" s="15"/>
      <c r="K758" s="15"/>
      <c r="L758" s="7"/>
    </row>
    <row r="759" spans="4:12" ht="15">
      <c r="D759" s="15"/>
      <c r="E759" s="15"/>
      <c r="F759" s="15"/>
      <c r="G759" s="15"/>
      <c r="H759" s="15"/>
      <c r="I759" s="15"/>
      <c r="J759" s="15"/>
      <c r="K759" s="15"/>
      <c r="L759" s="7"/>
    </row>
    <row r="760" spans="4:12" ht="15">
      <c r="D760" s="15"/>
      <c r="E760" s="15"/>
      <c r="F760" s="15"/>
      <c r="G760" s="15"/>
      <c r="H760" s="15"/>
      <c r="I760" s="15"/>
      <c r="J760" s="15"/>
      <c r="K760" s="15"/>
      <c r="L760" s="7"/>
    </row>
    <row r="761" spans="4:12" ht="15">
      <c r="D761" s="15"/>
      <c r="E761" s="15"/>
      <c r="F761" s="15"/>
      <c r="G761" s="15"/>
      <c r="H761" s="15"/>
      <c r="I761" s="15"/>
      <c r="J761" s="15"/>
      <c r="K761" s="15"/>
      <c r="L761" s="7"/>
    </row>
    <row r="762" spans="4:12" ht="15">
      <c r="D762" s="15"/>
      <c r="E762" s="15"/>
      <c r="F762" s="15"/>
      <c r="G762" s="15"/>
      <c r="H762" s="15"/>
      <c r="I762" s="15"/>
      <c r="J762" s="15"/>
      <c r="K762" s="15"/>
      <c r="L762" s="7"/>
    </row>
    <row r="763" spans="4:12" ht="15">
      <c r="D763" s="15"/>
      <c r="E763" s="15"/>
      <c r="F763" s="15"/>
      <c r="G763" s="15"/>
      <c r="H763" s="15"/>
      <c r="I763" s="15"/>
      <c r="J763" s="15"/>
      <c r="K763" s="15"/>
      <c r="L763" s="7"/>
    </row>
    <row r="764" spans="4:12" ht="15">
      <c r="D764" s="15"/>
      <c r="E764" s="15"/>
      <c r="F764" s="15"/>
      <c r="G764" s="15"/>
      <c r="H764" s="15"/>
      <c r="I764" s="15"/>
      <c r="J764" s="15"/>
      <c r="K764" s="15"/>
      <c r="L764" s="7"/>
    </row>
    <row r="765" spans="4:12" ht="15">
      <c r="D765" s="15"/>
      <c r="E765" s="15"/>
      <c r="F765" s="15"/>
      <c r="G765" s="15"/>
      <c r="H765" s="15"/>
      <c r="I765" s="15"/>
      <c r="J765" s="15"/>
      <c r="K765" s="15"/>
      <c r="L765" s="7"/>
    </row>
    <row r="766" spans="4:12" ht="15">
      <c r="D766" s="15"/>
      <c r="E766" s="15"/>
      <c r="F766" s="15"/>
      <c r="G766" s="15"/>
      <c r="H766" s="15"/>
      <c r="I766" s="15"/>
      <c r="J766" s="15"/>
      <c r="K766" s="15"/>
      <c r="L766" s="7"/>
    </row>
    <row r="767" spans="4:12" ht="15">
      <c r="D767" s="15"/>
      <c r="E767" s="15"/>
      <c r="F767" s="15"/>
      <c r="G767" s="15"/>
      <c r="H767" s="15"/>
      <c r="I767" s="15"/>
      <c r="J767" s="15"/>
      <c r="K767" s="15"/>
      <c r="L767" s="7"/>
    </row>
    <row r="768" spans="4:12" ht="15">
      <c r="D768" s="15"/>
      <c r="E768" s="15"/>
      <c r="F768" s="15"/>
      <c r="G768" s="15"/>
      <c r="H768" s="15"/>
      <c r="I768" s="15"/>
      <c r="J768" s="15"/>
      <c r="K768" s="15"/>
      <c r="L768" s="7"/>
    </row>
    <row r="769" spans="4:12" ht="15">
      <c r="D769" s="15"/>
      <c r="E769" s="15"/>
      <c r="F769" s="15"/>
      <c r="G769" s="15"/>
      <c r="H769" s="15"/>
      <c r="I769" s="15"/>
      <c r="J769" s="15"/>
      <c r="K769" s="15"/>
      <c r="L769" s="7"/>
    </row>
    <row r="770" spans="4:12" ht="15">
      <c r="D770" s="15"/>
      <c r="E770" s="15"/>
      <c r="F770" s="15"/>
      <c r="G770" s="15"/>
      <c r="H770" s="15"/>
      <c r="I770" s="15"/>
      <c r="J770" s="15"/>
      <c r="K770" s="15"/>
      <c r="L770" s="7"/>
    </row>
    <row r="771" spans="4:12" ht="15">
      <c r="D771" s="15"/>
      <c r="E771" s="15"/>
      <c r="F771" s="15"/>
      <c r="G771" s="15"/>
      <c r="H771" s="15"/>
      <c r="I771" s="15"/>
      <c r="J771" s="15"/>
      <c r="K771" s="15"/>
      <c r="L771" s="7"/>
    </row>
    <row r="772" spans="4:12" ht="15">
      <c r="D772" s="15"/>
      <c r="E772" s="15"/>
      <c r="F772" s="15"/>
      <c r="G772" s="15"/>
      <c r="H772" s="15"/>
      <c r="I772" s="15"/>
      <c r="J772" s="15"/>
      <c r="K772" s="15"/>
      <c r="L772" s="7"/>
    </row>
    <row r="773" spans="4:12" ht="15">
      <c r="D773" s="15"/>
      <c r="E773" s="15"/>
      <c r="F773" s="15"/>
      <c r="G773" s="15"/>
      <c r="H773" s="15"/>
      <c r="I773" s="15"/>
      <c r="J773" s="15"/>
      <c r="K773" s="15"/>
      <c r="L773" s="7"/>
    </row>
    <row r="774" spans="4:12" ht="15">
      <c r="D774" s="15"/>
      <c r="E774" s="15"/>
      <c r="F774" s="15"/>
      <c r="G774" s="15"/>
      <c r="H774" s="15"/>
      <c r="I774" s="15"/>
      <c r="J774" s="15"/>
      <c r="K774" s="15"/>
      <c r="L774" s="7"/>
    </row>
    <row r="775" spans="4:12" ht="15">
      <c r="D775" s="15"/>
      <c r="E775" s="15"/>
      <c r="F775" s="15"/>
      <c r="G775" s="15"/>
      <c r="H775" s="15"/>
      <c r="I775" s="15"/>
      <c r="J775" s="15"/>
      <c r="K775" s="15"/>
      <c r="L775" s="7"/>
    </row>
    <row r="776" spans="4:12" ht="15">
      <c r="D776" s="15"/>
      <c r="E776" s="15"/>
      <c r="F776" s="15"/>
      <c r="G776" s="15"/>
      <c r="H776" s="15"/>
      <c r="I776" s="15"/>
      <c r="J776" s="15"/>
      <c r="K776" s="15"/>
      <c r="L776" s="7"/>
    </row>
    <row r="777" spans="4:12" ht="15">
      <c r="D777" s="15"/>
      <c r="E777" s="15"/>
      <c r="F777" s="15"/>
      <c r="G777" s="15"/>
      <c r="H777" s="15"/>
      <c r="I777" s="15"/>
      <c r="J777" s="15"/>
      <c r="K777" s="15"/>
      <c r="L777" s="7"/>
    </row>
    <row r="778" spans="4:12" ht="15">
      <c r="D778" s="15"/>
      <c r="E778" s="15"/>
      <c r="F778" s="15"/>
      <c r="G778" s="15"/>
      <c r="H778" s="15"/>
      <c r="I778" s="15"/>
      <c r="J778" s="15"/>
      <c r="K778" s="15"/>
      <c r="L778" s="7"/>
    </row>
    <row r="779" spans="4:12" ht="15">
      <c r="D779" s="15"/>
      <c r="E779" s="15"/>
      <c r="F779" s="15"/>
      <c r="G779" s="15"/>
      <c r="H779" s="15"/>
      <c r="I779" s="15"/>
      <c r="J779" s="15"/>
      <c r="K779" s="15"/>
      <c r="L779" s="7"/>
    </row>
    <row r="780" spans="4:12" ht="15">
      <c r="D780" s="15"/>
      <c r="E780" s="15"/>
      <c r="F780" s="15"/>
      <c r="G780" s="15"/>
      <c r="H780" s="15"/>
      <c r="I780" s="15"/>
      <c r="J780" s="15"/>
      <c r="K780" s="15"/>
      <c r="L780" s="7"/>
    </row>
    <row r="781" spans="4:12" ht="15">
      <c r="D781" s="15"/>
      <c r="E781" s="15"/>
      <c r="F781" s="15"/>
      <c r="G781" s="15"/>
      <c r="H781" s="15"/>
      <c r="I781" s="15"/>
      <c r="J781" s="15"/>
      <c r="K781" s="15"/>
      <c r="L781" s="7"/>
    </row>
    <row r="782" spans="4:12" ht="15">
      <c r="D782" s="15"/>
      <c r="E782" s="15"/>
      <c r="F782" s="15"/>
      <c r="G782" s="15"/>
      <c r="H782" s="15"/>
      <c r="I782" s="15"/>
      <c r="J782" s="15"/>
      <c r="K782" s="15"/>
      <c r="L782" s="7"/>
    </row>
    <row r="783" spans="4:12" ht="15">
      <c r="D783" s="15"/>
      <c r="E783" s="15"/>
      <c r="F783" s="15"/>
      <c r="G783" s="15"/>
      <c r="H783" s="15"/>
      <c r="I783" s="15"/>
      <c r="J783" s="15"/>
      <c r="K783" s="15"/>
      <c r="L783" s="7"/>
    </row>
    <row r="784" spans="4:12" ht="15">
      <c r="D784" s="15"/>
      <c r="E784" s="15"/>
      <c r="F784" s="15"/>
      <c r="G784" s="15"/>
      <c r="H784" s="15"/>
      <c r="I784" s="15"/>
      <c r="J784" s="15"/>
      <c r="K784" s="15"/>
      <c r="L784" s="7"/>
    </row>
    <row r="785" spans="4:12" ht="15">
      <c r="D785" s="15"/>
      <c r="E785" s="15"/>
      <c r="F785" s="15"/>
      <c r="G785" s="15"/>
      <c r="H785" s="15"/>
      <c r="I785" s="15"/>
      <c r="J785" s="15"/>
      <c r="K785" s="15"/>
      <c r="L785" s="7"/>
    </row>
    <row r="786" spans="4:12" ht="15">
      <c r="D786" s="15"/>
      <c r="E786" s="15"/>
      <c r="F786" s="15"/>
      <c r="G786" s="15"/>
      <c r="H786" s="15"/>
      <c r="I786" s="15"/>
      <c r="J786" s="15"/>
      <c r="K786" s="15"/>
      <c r="L786" s="7"/>
    </row>
    <row r="787" spans="4:12" ht="15">
      <c r="D787" s="15"/>
      <c r="E787" s="15"/>
      <c r="F787" s="15"/>
      <c r="G787" s="15"/>
      <c r="H787" s="15"/>
      <c r="I787" s="15"/>
      <c r="J787" s="15"/>
      <c r="K787" s="15"/>
      <c r="L787" s="7"/>
    </row>
    <row r="788" spans="4:12" ht="15">
      <c r="D788" s="15"/>
      <c r="E788" s="15"/>
      <c r="F788" s="15"/>
      <c r="G788" s="15"/>
      <c r="H788" s="15"/>
      <c r="I788" s="15"/>
      <c r="J788" s="15"/>
      <c r="K788" s="15"/>
      <c r="L788" s="7"/>
    </row>
    <row r="789" spans="4:12" ht="15">
      <c r="D789" s="15"/>
      <c r="E789" s="15"/>
      <c r="F789" s="15"/>
      <c r="G789" s="15"/>
      <c r="H789" s="15"/>
      <c r="I789" s="15"/>
      <c r="J789" s="15"/>
      <c r="K789" s="15"/>
      <c r="L789" s="7"/>
    </row>
    <row r="790" spans="4:12" ht="15">
      <c r="D790" s="15"/>
      <c r="E790" s="15"/>
      <c r="F790" s="15"/>
      <c r="G790" s="15"/>
      <c r="H790" s="15"/>
      <c r="I790" s="15"/>
      <c r="J790" s="15"/>
      <c r="K790" s="15"/>
      <c r="L790" s="7"/>
    </row>
    <row r="791" spans="4:12" ht="15">
      <c r="D791" s="15"/>
      <c r="E791" s="15"/>
      <c r="F791" s="15"/>
      <c r="G791" s="15"/>
      <c r="H791" s="15"/>
      <c r="I791" s="15"/>
      <c r="J791" s="15"/>
      <c r="K791" s="15"/>
      <c r="L791" s="7"/>
    </row>
    <row r="792" spans="4:12" ht="15">
      <c r="D792" s="15"/>
      <c r="E792" s="15"/>
      <c r="F792" s="15"/>
      <c r="G792" s="15"/>
      <c r="H792" s="15"/>
      <c r="I792" s="15"/>
      <c r="J792" s="15"/>
      <c r="K792" s="15"/>
      <c r="L792" s="7"/>
    </row>
    <row r="793" spans="4:12" ht="15">
      <c r="D793" s="15"/>
      <c r="E793" s="15"/>
      <c r="F793" s="15"/>
      <c r="G793" s="15"/>
      <c r="H793" s="15"/>
      <c r="I793" s="15"/>
      <c r="J793" s="15"/>
      <c r="K793" s="15"/>
      <c r="L793" s="7"/>
    </row>
    <row r="794" spans="4:12" ht="15">
      <c r="D794" s="15"/>
      <c r="E794" s="15"/>
      <c r="F794" s="15"/>
      <c r="G794" s="15"/>
      <c r="H794" s="15"/>
      <c r="I794" s="15"/>
      <c r="J794" s="15"/>
      <c r="K794" s="15"/>
      <c r="L794" s="7"/>
    </row>
    <row r="795" spans="4:12" ht="15">
      <c r="D795" s="15"/>
      <c r="E795" s="15"/>
      <c r="F795" s="15"/>
      <c r="G795" s="15"/>
      <c r="H795" s="15"/>
      <c r="I795" s="15"/>
      <c r="J795" s="15"/>
      <c r="K795" s="15"/>
      <c r="L795" s="7"/>
    </row>
    <row r="796" spans="4:12" ht="15">
      <c r="D796" s="15"/>
      <c r="E796" s="15"/>
      <c r="F796" s="15"/>
      <c r="G796" s="15"/>
      <c r="H796" s="15"/>
      <c r="I796" s="15"/>
      <c r="J796" s="15"/>
      <c r="K796" s="15"/>
      <c r="L796" s="7"/>
    </row>
    <row r="797" spans="4:12" ht="15">
      <c r="D797" s="15"/>
      <c r="E797" s="15"/>
      <c r="F797" s="15"/>
      <c r="G797" s="15"/>
      <c r="H797" s="15"/>
      <c r="I797" s="15"/>
      <c r="J797" s="15"/>
      <c r="K797" s="15"/>
      <c r="L797" s="7"/>
    </row>
    <row r="798" spans="4:12" ht="15">
      <c r="D798" s="15"/>
      <c r="E798" s="15"/>
      <c r="F798" s="15"/>
      <c r="G798" s="15"/>
      <c r="H798" s="15"/>
      <c r="I798" s="15"/>
      <c r="J798" s="15"/>
      <c r="K798" s="15"/>
      <c r="L798" s="7"/>
    </row>
    <row r="799" spans="4:12" ht="15">
      <c r="D799" s="15"/>
      <c r="E799" s="15"/>
      <c r="F799" s="15"/>
      <c r="G799" s="15"/>
      <c r="H799" s="15"/>
      <c r="I799" s="15"/>
      <c r="J799" s="15"/>
      <c r="K799" s="15"/>
      <c r="L799" s="7"/>
    </row>
    <row r="800" spans="4:12" ht="15">
      <c r="D800" s="15"/>
      <c r="E800" s="15"/>
      <c r="F800" s="15"/>
      <c r="G800" s="15"/>
      <c r="H800" s="15"/>
      <c r="I800" s="15"/>
      <c r="J800" s="15"/>
      <c r="K800" s="15"/>
      <c r="L800" s="7"/>
    </row>
    <row r="801" spans="4:12" ht="15">
      <c r="D801" s="15"/>
      <c r="E801" s="15"/>
      <c r="F801" s="15"/>
      <c r="G801" s="15"/>
      <c r="H801" s="15"/>
      <c r="I801" s="15"/>
      <c r="J801" s="15"/>
      <c r="K801" s="15"/>
      <c r="L801" s="7"/>
    </row>
    <row r="802" spans="4:12" ht="15">
      <c r="D802" s="15"/>
      <c r="E802" s="15"/>
      <c r="F802" s="15"/>
      <c r="G802" s="15"/>
      <c r="H802" s="15"/>
      <c r="I802" s="15"/>
      <c r="J802" s="15"/>
      <c r="K802" s="15"/>
      <c r="L802" s="7"/>
    </row>
    <row r="803" spans="4:12" ht="15">
      <c r="D803" s="15"/>
      <c r="E803" s="15"/>
      <c r="F803" s="15"/>
      <c r="G803" s="15"/>
      <c r="H803" s="15"/>
      <c r="I803" s="15"/>
      <c r="J803" s="15"/>
      <c r="K803" s="15"/>
      <c r="L803" s="7"/>
    </row>
    <row r="804" spans="4:12" ht="15">
      <c r="D804" s="15"/>
      <c r="E804" s="15"/>
      <c r="F804" s="15"/>
      <c r="G804" s="15"/>
      <c r="H804" s="15"/>
      <c r="I804" s="15"/>
      <c r="J804" s="15"/>
      <c r="K804" s="15"/>
      <c r="L804" s="7"/>
    </row>
    <row r="805" spans="4:12" ht="15">
      <c r="D805" s="15"/>
      <c r="E805" s="15"/>
      <c r="F805" s="15"/>
      <c r="G805" s="15"/>
      <c r="H805" s="15"/>
      <c r="I805" s="15"/>
      <c r="J805" s="15"/>
      <c r="K805" s="15"/>
      <c r="L805" s="7"/>
    </row>
    <row r="806" spans="4:12" ht="15">
      <c r="D806" s="15"/>
      <c r="E806" s="15"/>
      <c r="F806" s="15"/>
      <c r="G806" s="15"/>
      <c r="H806" s="15"/>
      <c r="I806" s="15"/>
      <c r="J806" s="15"/>
      <c r="K806" s="15"/>
      <c r="L806" s="7"/>
    </row>
    <row r="807" spans="4:12" ht="15">
      <c r="D807" s="15"/>
      <c r="E807" s="15"/>
      <c r="F807" s="15"/>
      <c r="G807" s="15"/>
      <c r="H807" s="15"/>
      <c r="I807" s="15"/>
      <c r="J807" s="15"/>
      <c r="K807" s="15"/>
      <c r="L807" s="7"/>
    </row>
    <row r="808" spans="4:12" ht="15">
      <c r="D808" s="15"/>
      <c r="E808" s="15"/>
      <c r="F808" s="15"/>
      <c r="G808" s="15"/>
      <c r="H808" s="15"/>
      <c r="I808" s="15"/>
      <c r="J808" s="15"/>
      <c r="K808" s="15"/>
      <c r="L808" s="7"/>
    </row>
    <row r="809" ht="15">
      <c r="L809" s="7"/>
    </row>
    <row r="810" ht="15">
      <c r="L810" s="7"/>
    </row>
    <row r="811" ht="15">
      <c r="L811" s="7"/>
    </row>
    <row r="812" ht="15">
      <c r="L812" s="7"/>
    </row>
    <row r="813" ht="15">
      <c r="L813" s="7"/>
    </row>
    <row r="814" ht="15">
      <c r="L814" s="7"/>
    </row>
    <row r="815" ht="15">
      <c r="L815" s="7"/>
    </row>
    <row r="816" ht="15">
      <c r="L816" s="7"/>
    </row>
    <row r="817" ht="15">
      <c r="L817" s="7"/>
    </row>
    <row r="818" ht="15">
      <c r="L818" s="7"/>
    </row>
    <row r="819" ht="15">
      <c r="L819" s="7"/>
    </row>
    <row r="820" ht="15">
      <c r="L820" s="7"/>
    </row>
    <row r="821" ht="15">
      <c r="L821" s="7"/>
    </row>
    <row r="822" ht="15">
      <c r="L822" s="7"/>
    </row>
    <row r="823" ht="15">
      <c r="L823" s="7"/>
    </row>
    <row r="824" ht="15">
      <c r="L824" s="7"/>
    </row>
    <row r="825" ht="15">
      <c r="L825" s="7"/>
    </row>
    <row r="826" ht="15">
      <c r="L826" s="7"/>
    </row>
    <row r="827" ht="15">
      <c r="L827" s="7"/>
    </row>
    <row r="828" ht="15">
      <c r="L828" s="7"/>
    </row>
    <row r="829" ht="15">
      <c r="L829" s="7"/>
    </row>
    <row r="830" ht="15">
      <c r="L830" s="7"/>
    </row>
    <row r="831" ht="15">
      <c r="L831" s="7"/>
    </row>
    <row r="832" ht="15">
      <c r="L832" s="7"/>
    </row>
    <row r="833" ht="15">
      <c r="L833" s="7"/>
    </row>
    <row r="834" ht="15">
      <c r="L834" s="7"/>
    </row>
    <row r="835" ht="15">
      <c r="L835" s="7"/>
    </row>
    <row r="836" ht="15">
      <c r="L836" s="7"/>
    </row>
    <row r="837" ht="15">
      <c r="L837" s="7"/>
    </row>
    <row r="838" ht="15">
      <c r="L838" s="7"/>
    </row>
    <row r="839" ht="15">
      <c r="L839" s="7"/>
    </row>
    <row r="840" ht="15">
      <c r="L840" s="7"/>
    </row>
    <row r="841" ht="15">
      <c r="L841" s="7"/>
    </row>
    <row r="842" ht="15">
      <c r="L842" s="7"/>
    </row>
    <row r="843" ht="15">
      <c r="L843" s="7"/>
    </row>
    <row r="844" ht="15">
      <c r="L844" s="7"/>
    </row>
    <row r="845" ht="15">
      <c r="L845" s="7"/>
    </row>
    <row r="846" ht="15">
      <c r="L846" s="7"/>
    </row>
    <row r="847" ht="15">
      <c r="L847" s="7"/>
    </row>
    <row r="848" ht="15">
      <c r="L848" s="7"/>
    </row>
    <row r="849" ht="15">
      <c r="L849" s="7"/>
    </row>
    <row r="850" ht="15">
      <c r="L850" s="7"/>
    </row>
    <row r="851" ht="15">
      <c r="L851" s="7"/>
    </row>
    <row r="852" ht="15">
      <c r="L852" s="7"/>
    </row>
    <row r="853" ht="15">
      <c r="L853" s="7"/>
    </row>
    <row r="854" ht="15">
      <c r="L854" s="7"/>
    </row>
    <row r="855" ht="15">
      <c r="L855" s="7"/>
    </row>
    <row r="856" ht="15">
      <c r="L856" s="7"/>
    </row>
    <row r="857" ht="15">
      <c r="L857" s="7"/>
    </row>
    <row r="858" ht="15">
      <c r="L858" s="7"/>
    </row>
    <row r="859" ht="15">
      <c r="L859" s="7"/>
    </row>
    <row r="860" ht="15">
      <c r="L860" s="7"/>
    </row>
    <row r="861" ht="15">
      <c r="L861" s="7"/>
    </row>
    <row r="862" ht="15">
      <c r="L862" s="7"/>
    </row>
    <row r="863" ht="15">
      <c r="L863" s="7"/>
    </row>
    <row r="864" ht="15">
      <c r="L864" s="7"/>
    </row>
    <row r="865" ht="15">
      <c r="L865" s="7"/>
    </row>
  </sheetData>
  <sheetProtection password="DF35" sheet="1" objects="1" scenarios="1"/>
  <printOptions gridLines="1" horizontalCentered="1" verticalCentered="1"/>
  <pageMargins left="0.75" right="0.75" top="1" bottom="1" header="0.5" footer="0.5"/>
  <pageSetup horizontalDpi="300" verticalDpi="300" orientation="landscape" scale="71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140625" defaultRowHeight="12.75"/>
  <cols>
    <col min="1" max="1" width="6.421875" style="5" bestFit="1" customWidth="1"/>
    <col min="2" max="2" width="8.57421875" style="5" customWidth="1"/>
    <col min="3" max="3" width="11.57421875" style="1" bestFit="1" customWidth="1"/>
    <col min="4" max="4" width="11.57421875" style="1" customWidth="1"/>
    <col min="5" max="5" width="12.140625" style="1" bestFit="1" customWidth="1"/>
    <col min="6" max="6" width="11.00390625" style="1" customWidth="1"/>
    <col min="7" max="7" width="10.8515625" style="1" customWidth="1"/>
    <col min="8" max="8" width="15.140625" style="1" bestFit="1" customWidth="1"/>
    <col min="9" max="10" width="10.28125" style="1" bestFit="1" customWidth="1"/>
    <col min="11" max="11" width="10.28125" style="1" customWidth="1"/>
    <col min="12" max="12" width="13.421875" style="1" bestFit="1" customWidth="1"/>
    <col min="13" max="13" width="11.57421875" style="1" bestFit="1" customWidth="1"/>
    <col min="14" max="14" width="10.28125" style="1" customWidth="1"/>
    <col min="15" max="15" width="15.140625" style="1" bestFit="1" customWidth="1"/>
    <col min="16" max="16" width="12.00390625" style="1" customWidth="1"/>
    <col min="17" max="17" width="10.8515625" style="1" bestFit="1" customWidth="1"/>
    <col min="18" max="18" width="1.57421875" style="1" customWidth="1"/>
    <col min="19" max="19" width="10.8515625" style="1" bestFit="1" customWidth="1"/>
    <col min="20" max="20" width="11.140625" style="1" customWidth="1"/>
    <col min="21" max="21" width="13.140625" style="1" bestFit="1" customWidth="1"/>
    <col min="22" max="16384" width="9.140625" style="1" customWidth="1"/>
  </cols>
  <sheetData>
    <row r="1" spans="1:21" ht="16.5" thickBot="1">
      <c r="A1" s="431"/>
      <c r="B1" s="432"/>
      <c r="C1" s="482"/>
      <c r="D1" s="482"/>
      <c r="E1" s="438"/>
      <c r="F1" s="433"/>
      <c r="G1" s="416" t="s">
        <v>254</v>
      </c>
      <c r="H1" s="415" t="s">
        <v>285</v>
      </c>
      <c r="I1" s="433"/>
      <c r="J1" s="433"/>
      <c r="K1" s="433"/>
      <c r="L1" s="433"/>
      <c r="M1" s="432"/>
      <c r="N1" s="433"/>
      <c r="O1" s="433"/>
      <c r="P1" s="433"/>
      <c r="Q1" s="435"/>
      <c r="S1" s="554"/>
      <c r="T1" s="433"/>
      <c r="U1" s="435"/>
    </row>
    <row r="2" spans="3:13" ht="16.5" thickBot="1">
      <c r="C2" s="7"/>
      <c r="D2" s="7"/>
      <c r="E2" s="60"/>
      <c r="M2" s="5"/>
    </row>
    <row r="3" spans="1:21" s="5" customFormat="1" ht="15.75">
      <c r="A3" s="439"/>
      <c r="B3" s="537"/>
      <c r="C3" s="535">
        <v>0.025</v>
      </c>
      <c r="D3" s="535"/>
      <c r="E3" s="535">
        <v>0.015</v>
      </c>
      <c r="F3" s="536">
        <v>0.019</v>
      </c>
      <c r="G3" s="535" t="s">
        <v>192</v>
      </c>
      <c r="H3" s="535"/>
      <c r="I3" s="537" t="s">
        <v>115</v>
      </c>
      <c r="J3" s="538">
        <v>0.019</v>
      </c>
      <c r="K3" s="537" t="s">
        <v>218</v>
      </c>
      <c r="L3" s="539" t="s">
        <v>36</v>
      </c>
      <c r="M3" s="537" t="s">
        <v>2</v>
      </c>
      <c r="N3" s="540" t="s">
        <v>115</v>
      </c>
      <c r="O3" s="440" t="s">
        <v>218</v>
      </c>
      <c r="P3" s="440" t="s">
        <v>356</v>
      </c>
      <c r="Q3" s="440" t="s">
        <v>136</v>
      </c>
      <c r="S3" s="555" t="s">
        <v>357</v>
      </c>
      <c r="T3" s="553"/>
      <c r="U3" s="411" t="s">
        <v>356</v>
      </c>
    </row>
    <row r="4" spans="1:21" s="5" customFormat="1" ht="16.5" thickBot="1">
      <c r="A4" s="523" t="s">
        <v>23</v>
      </c>
      <c r="B4" s="524" t="s">
        <v>24</v>
      </c>
      <c r="C4" s="524" t="s">
        <v>30</v>
      </c>
      <c r="D4" s="524" t="s">
        <v>133</v>
      </c>
      <c r="E4" s="524" t="s">
        <v>31</v>
      </c>
      <c r="F4" s="524" t="s">
        <v>27</v>
      </c>
      <c r="G4" s="524" t="s">
        <v>252</v>
      </c>
      <c r="H4" s="524" t="s">
        <v>253</v>
      </c>
      <c r="I4" s="524" t="s">
        <v>225</v>
      </c>
      <c r="J4" s="524" t="s">
        <v>139</v>
      </c>
      <c r="K4" s="524" t="s">
        <v>21</v>
      </c>
      <c r="L4" s="524" t="s">
        <v>21</v>
      </c>
      <c r="M4" s="524" t="s">
        <v>21</v>
      </c>
      <c r="N4" s="541" t="s">
        <v>134</v>
      </c>
      <c r="O4" s="525" t="s">
        <v>287</v>
      </c>
      <c r="P4" s="525" t="s">
        <v>21</v>
      </c>
      <c r="Q4" s="525" t="s">
        <v>21</v>
      </c>
      <c r="S4" s="412" t="s">
        <v>22</v>
      </c>
      <c r="T4" s="448" t="s">
        <v>356</v>
      </c>
      <c r="U4" s="413" t="s">
        <v>358</v>
      </c>
    </row>
    <row r="5" spans="1:21" s="5" customFormat="1" ht="15.75">
      <c r="A5" s="542" t="s">
        <v>1</v>
      </c>
      <c r="B5" s="522"/>
      <c r="C5" s="537">
        <v>1</v>
      </c>
      <c r="D5" s="537"/>
      <c r="E5" s="537">
        <v>0.5</v>
      </c>
      <c r="F5" s="543">
        <v>44900</v>
      </c>
      <c r="G5" s="539">
        <v>0</v>
      </c>
      <c r="H5" s="539">
        <v>0</v>
      </c>
      <c r="I5" s="537"/>
      <c r="J5" s="543">
        <v>41100</v>
      </c>
      <c r="K5" s="537"/>
      <c r="L5" s="537"/>
      <c r="M5" s="537"/>
      <c r="N5" s="544"/>
      <c r="O5" s="545"/>
      <c r="P5" s="540"/>
      <c r="Q5" s="545"/>
      <c r="S5" s="410"/>
      <c r="T5" s="560"/>
      <c r="U5" s="561"/>
    </row>
    <row r="6" spans="1:21" s="274" customFormat="1" ht="16.5" thickBot="1">
      <c r="A6" s="523"/>
      <c r="B6" s="524"/>
      <c r="C6" s="546">
        <v>49000</v>
      </c>
      <c r="D6" s="547">
        <v>0.02</v>
      </c>
      <c r="E6" s="546">
        <v>20000</v>
      </c>
      <c r="F6" s="548">
        <v>8684.742</v>
      </c>
      <c r="G6" s="549"/>
      <c r="H6" s="549"/>
      <c r="I6" s="548">
        <v>0</v>
      </c>
      <c r="J6" s="548"/>
      <c r="K6" s="548"/>
      <c r="L6" s="549"/>
      <c r="M6" s="550"/>
      <c r="N6" s="551"/>
      <c r="O6" s="552"/>
      <c r="P6" s="551"/>
      <c r="Q6" s="552"/>
      <c r="S6" s="562"/>
      <c r="T6" s="434"/>
      <c r="U6" s="563"/>
    </row>
    <row r="7" spans="1:21" ht="15">
      <c r="A7" s="58">
        <v>2008</v>
      </c>
      <c r="B7" s="31"/>
      <c r="C7" s="53"/>
      <c r="D7" s="53" t="s">
        <v>325</v>
      </c>
      <c r="E7" s="53"/>
      <c r="F7" s="277"/>
      <c r="G7" s="277"/>
      <c r="H7" s="277"/>
      <c r="I7" s="53"/>
      <c r="J7" s="277"/>
      <c r="K7" s="277"/>
      <c r="L7" s="277"/>
      <c r="M7" s="21"/>
      <c r="N7" s="36"/>
      <c r="O7" s="99"/>
      <c r="P7" s="301"/>
      <c r="Q7" s="99"/>
      <c r="S7" s="20"/>
      <c r="T7" s="21"/>
      <c r="U7" s="99"/>
    </row>
    <row r="8" spans="1:21" ht="15">
      <c r="A8" s="58">
        <v>2009</v>
      </c>
      <c r="B8" s="333">
        <v>54</v>
      </c>
      <c r="C8" s="53">
        <v>49000</v>
      </c>
      <c r="D8" s="53">
        <v>980</v>
      </c>
      <c r="E8" s="53"/>
      <c r="F8" s="53"/>
      <c r="G8" s="53"/>
      <c r="H8" s="53"/>
      <c r="I8" s="481"/>
      <c r="J8" s="53"/>
      <c r="K8" s="53">
        <v>0</v>
      </c>
      <c r="L8" s="278">
        <v>1616.78081014555</v>
      </c>
      <c r="M8" s="53">
        <v>51596.78081014555</v>
      </c>
      <c r="N8" s="389"/>
      <c r="O8" s="54">
        <v>0</v>
      </c>
      <c r="P8" s="275">
        <v>-150</v>
      </c>
      <c r="Q8" s="279">
        <v>51446.78081014555</v>
      </c>
      <c r="R8" s="4" t="s">
        <v>1</v>
      </c>
      <c r="S8" s="556">
        <v>46000</v>
      </c>
      <c r="T8" s="557">
        <v>5000</v>
      </c>
      <c r="U8" s="279">
        <v>150</v>
      </c>
    </row>
    <row r="9" spans="1:21" ht="15">
      <c r="A9" s="58">
        <v>2010</v>
      </c>
      <c r="B9" s="333">
        <v>55</v>
      </c>
      <c r="C9" s="53">
        <v>50225</v>
      </c>
      <c r="D9" s="53">
        <v>980</v>
      </c>
      <c r="E9" s="53"/>
      <c r="F9" s="53"/>
      <c r="G9" s="53"/>
      <c r="H9" s="53"/>
      <c r="I9" s="481"/>
      <c r="J9" s="53"/>
      <c r="K9" s="53">
        <v>0</v>
      </c>
      <c r="L9" s="278">
        <v>1501.5107879547882</v>
      </c>
      <c r="M9" s="53">
        <v>52706.51078795478</v>
      </c>
      <c r="N9" s="389"/>
      <c r="O9" s="54">
        <v>0</v>
      </c>
      <c r="P9" s="275">
        <v>-300</v>
      </c>
      <c r="Q9" s="279">
        <v>52406.51078795478</v>
      </c>
      <c r="R9" s="4"/>
      <c r="S9" s="556">
        <v>46083.68861179677</v>
      </c>
      <c r="T9" s="557">
        <v>10000</v>
      </c>
      <c r="U9" s="279">
        <v>300</v>
      </c>
    </row>
    <row r="10" spans="1:21" ht="15">
      <c r="A10" s="58">
        <v>2011</v>
      </c>
      <c r="B10" s="333">
        <v>56</v>
      </c>
      <c r="C10" s="53">
        <v>51480.624999999985</v>
      </c>
      <c r="D10" s="53">
        <v>1004.5</v>
      </c>
      <c r="E10" s="53"/>
      <c r="F10" s="53"/>
      <c r="G10" s="53"/>
      <c r="H10" s="53"/>
      <c r="I10" s="481"/>
      <c r="J10" s="53"/>
      <c r="K10" s="53">
        <v>0</v>
      </c>
      <c r="L10" s="278">
        <v>1523.3543537427831</v>
      </c>
      <c r="M10" s="53">
        <v>54008.47935374277</v>
      </c>
      <c r="N10" s="389"/>
      <c r="O10" s="54">
        <v>0</v>
      </c>
      <c r="P10" s="275">
        <v>-450</v>
      </c>
      <c r="Q10" s="279">
        <v>53558.47935374277</v>
      </c>
      <c r="R10" s="4"/>
      <c r="S10" s="556">
        <v>46173.32042000372</v>
      </c>
      <c r="T10" s="557">
        <v>15000</v>
      </c>
      <c r="U10" s="279">
        <v>450</v>
      </c>
    </row>
    <row r="11" spans="1:21" ht="15">
      <c r="A11" s="58">
        <v>2012</v>
      </c>
      <c r="B11" s="333">
        <v>57</v>
      </c>
      <c r="C11" s="53">
        <v>52767.64062499998</v>
      </c>
      <c r="D11" s="53">
        <v>1029.6125</v>
      </c>
      <c r="E11" s="53"/>
      <c r="F11" s="53"/>
      <c r="G11" s="53"/>
      <c r="H11" s="53"/>
      <c r="I11" s="481"/>
      <c r="J11" s="53"/>
      <c r="K11" s="53">
        <v>0</v>
      </c>
      <c r="L11" s="278">
        <v>1547.7010797334128</v>
      </c>
      <c r="M11" s="53">
        <v>55344.954204733396</v>
      </c>
      <c r="N11" s="389"/>
      <c r="O11" s="54">
        <v>0</v>
      </c>
      <c r="P11" s="275">
        <v>-600</v>
      </c>
      <c r="Q11" s="279">
        <v>54744.954204733396</v>
      </c>
      <c r="R11" s="4"/>
      <c r="S11" s="556">
        <v>46369.44568051829</v>
      </c>
      <c r="T11" s="557">
        <v>20000</v>
      </c>
      <c r="U11" s="279">
        <v>600</v>
      </c>
    </row>
    <row r="12" spans="1:21" ht="15">
      <c r="A12" s="58">
        <v>2013</v>
      </c>
      <c r="B12" s="333">
        <v>58</v>
      </c>
      <c r="C12" s="53">
        <v>54086.83164062497</v>
      </c>
      <c r="D12" s="53">
        <v>1055.3528124999996</v>
      </c>
      <c r="E12" s="21"/>
      <c r="F12" s="53"/>
      <c r="G12" s="53"/>
      <c r="H12" s="53"/>
      <c r="I12" s="481"/>
      <c r="J12" s="53"/>
      <c r="K12" s="53">
        <v>0</v>
      </c>
      <c r="L12" s="278">
        <v>1603.3828836917878</v>
      </c>
      <c r="M12" s="53">
        <v>56745.56733681676</v>
      </c>
      <c r="N12" s="389"/>
      <c r="O12" s="54">
        <v>0</v>
      </c>
      <c r="P12" s="275">
        <v>-750</v>
      </c>
      <c r="Q12" s="279">
        <v>55995.56733681676</v>
      </c>
      <c r="R12" s="4"/>
      <c r="S12" s="556">
        <v>48231.95030991256</v>
      </c>
      <c r="T12" s="557">
        <v>25000</v>
      </c>
      <c r="U12" s="279">
        <v>750</v>
      </c>
    </row>
    <row r="13" spans="1:21" ht="15">
      <c r="A13" s="58">
        <v>2014</v>
      </c>
      <c r="B13" s="333">
        <v>59</v>
      </c>
      <c r="C13" s="53">
        <v>55439.00243164059</v>
      </c>
      <c r="D13" s="53">
        <v>1081.7366328124995</v>
      </c>
      <c r="E13" s="53"/>
      <c r="F13" s="53"/>
      <c r="G13" s="53"/>
      <c r="H13" s="53" t="s">
        <v>1</v>
      </c>
      <c r="I13" s="481"/>
      <c r="J13" s="53"/>
      <c r="K13" s="53">
        <v>0</v>
      </c>
      <c r="L13" s="278">
        <v>1660.1426485302272</v>
      </c>
      <c r="M13" s="53">
        <v>58180.88171298332</v>
      </c>
      <c r="N13" s="389"/>
      <c r="O13" s="54">
        <v>0</v>
      </c>
      <c r="P13" s="275">
        <v>-900</v>
      </c>
      <c r="Q13" s="279">
        <v>57280.88171298332</v>
      </c>
      <c r="R13" s="4"/>
      <c r="S13" s="556">
        <v>50161.94187637747</v>
      </c>
      <c r="T13" s="557">
        <v>30000</v>
      </c>
      <c r="U13" s="279">
        <v>900</v>
      </c>
    </row>
    <row r="14" spans="1:21" ht="15">
      <c r="A14" s="58">
        <v>2015</v>
      </c>
      <c r="B14" s="333">
        <v>60</v>
      </c>
      <c r="C14" s="53">
        <v>56824.9774924316</v>
      </c>
      <c r="D14" s="53">
        <v>1108.780048632812</v>
      </c>
      <c r="E14" s="53"/>
      <c r="F14" s="53"/>
      <c r="G14" s="53"/>
      <c r="H14" s="53"/>
      <c r="I14" s="481"/>
      <c r="J14" s="53"/>
      <c r="K14" s="53">
        <v>0</v>
      </c>
      <c r="L14" s="278">
        <v>756.5874651672981</v>
      </c>
      <c r="M14" s="53">
        <v>58690.34500623171</v>
      </c>
      <c r="N14" s="389"/>
      <c r="O14" s="54">
        <v>0</v>
      </c>
      <c r="P14" s="275">
        <v>-967.5256416320541</v>
      </c>
      <c r="Q14" s="279">
        <v>57722.81936459966</v>
      </c>
      <c r="R14" s="4"/>
      <c r="S14" s="556">
        <v>32250.85472106847</v>
      </c>
      <c r="T14" s="557">
        <v>32250.85472106847</v>
      </c>
      <c r="U14" s="279">
        <v>967.5256416320541</v>
      </c>
    </row>
    <row r="15" spans="1:21" ht="15">
      <c r="A15" s="58">
        <v>2016</v>
      </c>
      <c r="B15" s="333">
        <v>61</v>
      </c>
      <c r="C15" s="53">
        <v>58245.601929742385</v>
      </c>
      <c r="D15" s="53">
        <v>1136.4995498486321</v>
      </c>
      <c r="E15" s="53"/>
      <c r="F15" s="53"/>
      <c r="G15" s="53"/>
      <c r="H15" s="53"/>
      <c r="I15" s="481"/>
      <c r="J15" s="53"/>
      <c r="K15" s="53">
        <v>0</v>
      </c>
      <c r="L15" s="278">
        <v>781.9218163281264</v>
      </c>
      <c r="M15" s="53">
        <v>60164.02329591914</v>
      </c>
      <c r="N15" s="389"/>
      <c r="O15" s="54">
        <v>0</v>
      </c>
      <c r="P15" s="275">
        <v>-1000.7701744103107</v>
      </c>
      <c r="Q15" s="279">
        <v>59163.25312150883</v>
      </c>
      <c r="R15" s="4"/>
      <c r="S15" s="556">
        <v>33359.005813677024</v>
      </c>
      <c r="T15" s="557">
        <v>33359.005813677024</v>
      </c>
      <c r="U15" s="279">
        <v>1000.7701744103107</v>
      </c>
    </row>
    <row r="16" spans="1:21" ht="15">
      <c r="A16" s="58">
        <v>2017</v>
      </c>
      <c r="B16" s="333">
        <v>62</v>
      </c>
      <c r="C16" s="53">
        <v>59701.74197798594</v>
      </c>
      <c r="D16" s="53">
        <v>1164.9120385948477</v>
      </c>
      <c r="E16" s="53"/>
      <c r="F16" s="53"/>
      <c r="G16" s="53"/>
      <c r="H16" s="53"/>
      <c r="I16" s="481"/>
      <c r="J16" s="53"/>
      <c r="K16" s="53">
        <v>0</v>
      </c>
      <c r="L16" s="278">
        <v>808.1150752939975</v>
      </c>
      <c r="M16" s="53">
        <v>61674.76909187478</v>
      </c>
      <c r="N16" s="389"/>
      <c r="O16" s="54">
        <v>0</v>
      </c>
      <c r="P16" s="275">
        <v>-1035.1702468042636</v>
      </c>
      <c r="Q16" s="279">
        <v>60639.59884507052</v>
      </c>
      <c r="R16" s="4"/>
      <c r="S16" s="556">
        <v>34505.67489347545</v>
      </c>
      <c r="T16" s="557">
        <v>34505.67489347545</v>
      </c>
      <c r="U16" s="279">
        <v>1035.1702468042636</v>
      </c>
    </row>
    <row r="17" spans="1:21" ht="15">
      <c r="A17" s="58">
        <v>2018</v>
      </c>
      <c r="B17" s="333">
        <v>63</v>
      </c>
      <c r="C17" s="53"/>
      <c r="D17" s="53"/>
      <c r="E17" s="53"/>
      <c r="F17" s="53">
        <v>10287.848906721818</v>
      </c>
      <c r="G17" s="53">
        <v>0</v>
      </c>
      <c r="H17" s="53">
        <v>0</v>
      </c>
      <c r="I17" s="481"/>
      <c r="J17" s="53"/>
      <c r="K17" s="53">
        <v>0</v>
      </c>
      <c r="L17" s="278">
        <v>835.1967171966958</v>
      </c>
      <c r="M17" s="53">
        <v>11123.045623918513</v>
      </c>
      <c r="N17" s="389"/>
      <c r="O17" s="54">
        <v>0</v>
      </c>
      <c r="P17" s="275">
        <v>-1070.7664576385966</v>
      </c>
      <c r="Q17" s="279">
        <v>10052.279166279917</v>
      </c>
      <c r="R17" s="4"/>
      <c r="S17" s="556">
        <v>35692.21525461989</v>
      </c>
      <c r="T17" s="557">
        <v>35692.21525461989</v>
      </c>
      <c r="U17" s="279">
        <v>1070.7664576385966</v>
      </c>
    </row>
    <row r="18" spans="1:21" ht="15">
      <c r="A18" s="58">
        <v>2019</v>
      </c>
      <c r="B18" s="333">
        <v>64</v>
      </c>
      <c r="C18" s="53"/>
      <c r="D18" s="53"/>
      <c r="E18" s="53"/>
      <c r="F18" s="53">
        <v>10483.31803594953</v>
      </c>
      <c r="G18" s="53">
        <v>0</v>
      </c>
      <c r="H18" s="53">
        <v>0</v>
      </c>
      <c r="I18" s="481"/>
      <c r="J18" s="53"/>
      <c r="K18" s="53">
        <v>4700</v>
      </c>
      <c r="L18" s="278">
        <v>863.1972404681205</v>
      </c>
      <c r="M18" s="53">
        <v>16046.515276417651</v>
      </c>
      <c r="N18" s="275">
        <v>0</v>
      </c>
      <c r="O18" s="54">
        <v>0</v>
      </c>
      <c r="P18" s="275">
        <v>-1107.6008461765928</v>
      </c>
      <c r="Q18" s="279">
        <v>14938.914430241059</v>
      </c>
      <c r="R18" s="4"/>
      <c r="S18" s="556">
        <v>36920.028205886425</v>
      </c>
      <c r="T18" s="557">
        <v>36920.028205886425</v>
      </c>
      <c r="U18" s="279">
        <v>1107.6008461765928</v>
      </c>
    </row>
    <row r="19" spans="1:21" ht="15">
      <c r="A19" s="58">
        <v>2020</v>
      </c>
      <c r="B19" s="333">
        <v>65</v>
      </c>
      <c r="C19" s="53"/>
      <c r="D19" s="53"/>
      <c r="E19" s="53">
        <v>10150</v>
      </c>
      <c r="F19" s="53">
        <v>10682.501078632571</v>
      </c>
      <c r="G19" s="53">
        <v>0</v>
      </c>
      <c r="H19" s="53">
        <v>0</v>
      </c>
      <c r="I19" s="53">
        <v>7696.3349152033425</v>
      </c>
      <c r="J19" s="53"/>
      <c r="K19" s="53">
        <v>0</v>
      </c>
      <c r="L19" s="278">
        <v>486.0354912510417</v>
      </c>
      <c r="M19" s="53">
        <v>29014.871485086955</v>
      </c>
      <c r="N19" s="275">
        <v>0</v>
      </c>
      <c r="O19" s="54">
        <v>0</v>
      </c>
      <c r="P19" s="275">
        <v>-495.93660527209477</v>
      </c>
      <c r="Q19" s="279">
        <v>28518.93487981486</v>
      </c>
      <c r="R19" s="4"/>
      <c r="S19" s="556">
        <v>16531.220175736493</v>
      </c>
      <c r="T19" s="557">
        <v>16531.220175736493</v>
      </c>
      <c r="U19" s="279">
        <v>495.93660527209477</v>
      </c>
    </row>
    <row r="20" spans="1:21" ht="15">
      <c r="A20" s="58">
        <v>2021</v>
      </c>
      <c r="B20" s="333">
        <v>66</v>
      </c>
      <c r="C20" s="53"/>
      <c r="D20" s="53"/>
      <c r="E20" s="53">
        <v>10302.25</v>
      </c>
      <c r="F20" s="53">
        <v>10885.468599126589</v>
      </c>
      <c r="G20" s="53">
        <v>0</v>
      </c>
      <c r="H20" s="53">
        <v>0</v>
      </c>
      <c r="I20" s="53">
        <v>7843.610473171872</v>
      </c>
      <c r="J20" s="53"/>
      <c r="K20" s="53">
        <v>0</v>
      </c>
      <c r="L20" s="278">
        <v>82.33186700202123</v>
      </c>
      <c r="M20" s="53">
        <v>29113.66093930048</v>
      </c>
      <c r="N20" s="275">
        <v>0</v>
      </c>
      <c r="O20" s="54">
        <v>0</v>
      </c>
      <c r="P20" s="275">
        <v>-92.60427279886386</v>
      </c>
      <c r="Q20" s="279">
        <v>29021.056666501616</v>
      </c>
      <c r="R20" s="4"/>
      <c r="S20" s="556">
        <v>3086.809093295462</v>
      </c>
      <c r="T20" s="557">
        <v>3086.809093295462</v>
      </c>
      <c r="U20" s="279">
        <v>92.60427279886386</v>
      </c>
    </row>
    <row r="21" spans="1:21" ht="15">
      <c r="A21" s="58">
        <v>2022</v>
      </c>
      <c r="B21" s="333">
        <v>67</v>
      </c>
      <c r="C21" s="53"/>
      <c r="D21" s="53"/>
      <c r="E21" s="53">
        <v>10456.783749999997</v>
      </c>
      <c r="F21" s="53">
        <v>11092.292502509992</v>
      </c>
      <c r="G21" s="53">
        <v>0</v>
      </c>
      <c r="H21" s="53">
        <v>0</v>
      </c>
      <c r="I21" s="53">
        <v>7993.70426738063</v>
      </c>
      <c r="J21" s="53"/>
      <c r="K21" s="53">
        <v>0</v>
      </c>
      <c r="L21" s="278">
        <v>84.93022808454239</v>
      </c>
      <c r="M21" s="53">
        <v>29627.710747975165</v>
      </c>
      <c r="N21" s="275">
        <v>0</v>
      </c>
      <c r="O21" s="54">
        <v>0</v>
      </c>
      <c r="P21" s="275">
        <v>-95.58784909876657</v>
      </c>
      <c r="Q21" s="279">
        <v>29532.122898876398</v>
      </c>
      <c r="R21" s="4"/>
      <c r="S21" s="556">
        <v>3186.2616366255525</v>
      </c>
      <c r="T21" s="557">
        <v>3186.2616366255525</v>
      </c>
      <c r="U21" s="279">
        <v>95.58784909876657</v>
      </c>
    </row>
    <row r="22" spans="1:21" ht="15">
      <c r="A22" s="58">
        <v>2023</v>
      </c>
      <c r="B22" s="333">
        <v>68</v>
      </c>
      <c r="C22" s="53"/>
      <c r="D22" s="53"/>
      <c r="E22" s="53">
        <v>10613.635506249995</v>
      </c>
      <c r="F22" s="53">
        <v>11303.04606005768</v>
      </c>
      <c r="G22" s="53">
        <v>0</v>
      </c>
      <c r="H22" s="53">
        <v>0</v>
      </c>
      <c r="I22" s="53">
        <v>8146.670227046484</v>
      </c>
      <c r="J22" s="53"/>
      <c r="K22" s="53">
        <v>0</v>
      </c>
      <c r="L22" s="278">
        <v>87.61135518975647</v>
      </c>
      <c r="M22" s="53">
        <v>30150.96314854392</v>
      </c>
      <c r="N22" s="275">
        <v>0</v>
      </c>
      <c r="O22" s="54">
        <v>0</v>
      </c>
      <c r="P22" s="275">
        <v>-98.66863699201404</v>
      </c>
      <c r="Q22" s="279">
        <v>30052.294511551907</v>
      </c>
      <c r="R22" s="4"/>
      <c r="S22" s="556">
        <v>3288.954566400468</v>
      </c>
      <c r="T22" s="557">
        <v>3288.954566400468</v>
      </c>
      <c r="U22" s="279">
        <v>98.66863699201404</v>
      </c>
    </row>
    <row r="23" spans="1:21" ht="15">
      <c r="A23" s="58">
        <v>2024</v>
      </c>
      <c r="B23" s="333">
        <v>69</v>
      </c>
      <c r="C23" s="53"/>
      <c r="D23" s="53"/>
      <c r="E23" s="53">
        <v>10772.840038843742</v>
      </c>
      <c r="F23" s="53">
        <v>11517.803935198775</v>
      </c>
      <c r="G23" s="53">
        <v>0</v>
      </c>
      <c r="H23" s="53">
        <v>0</v>
      </c>
      <c r="I23" s="53">
        <v>8302.563313365245</v>
      </c>
      <c r="J23" s="53"/>
      <c r="K23" s="53">
        <v>18000</v>
      </c>
      <c r="L23" s="278">
        <v>90.37791186797737</v>
      </c>
      <c r="M23" s="53">
        <v>48683.58519927574</v>
      </c>
      <c r="N23" s="275">
        <v>0</v>
      </c>
      <c r="O23" s="54">
        <v>0</v>
      </c>
      <c r="P23" s="275">
        <v>-101.84984173781962</v>
      </c>
      <c r="Q23" s="279">
        <v>48581.73535753792</v>
      </c>
      <c r="R23" s="4"/>
      <c r="S23" s="556">
        <v>3394.9947245939875</v>
      </c>
      <c r="T23" s="557">
        <v>3394.9947245939875</v>
      </c>
      <c r="U23" s="279">
        <v>101.84984173781962</v>
      </c>
    </row>
    <row r="24" spans="1:21" ht="15">
      <c r="A24" s="58">
        <v>2025</v>
      </c>
      <c r="B24" s="333">
        <v>70</v>
      </c>
      <c r="C24" s="53"/>
      <c r="D24" s="53"/>
      <c r="E24" s="53">
        <v>10934.432639426397</v>
      </c>
      <c r="F24" s="53">
        <v>11736.642209967551</v>
      </c>
      <c r="G24" s="53">
        <v>0</v>
      </c>
      <c r="H24" s="53">
        <v>0</v>
      </c>
      <c r="I24" s="53">
        <v>8461.439539259398</v>
      </c>
      <c r="J24" s="53"/>
      <c r="K24" s="53">
        <v>0</v>
      </c>
      <c r="L24" s="278">
        <v>93.23264834738971</v>
      </c>
      <c r="M24" s="53">
        <v>31225.747037000732</v>
      </c>
      <c r="N24" s="275">
        <v>0</v>
      </c>
      <c r="O24" s="54">
        <v>0</v>
      </c>
      <c r="P24" s="275">
        <v>-105.13477558735106</v>
      </c>
      <c r="Q24" s="279">
        <v>31120.612261413382</v>
      </c>
      <c r="R24" s="4"/>
      <c r="S24" s="556">
        <v>3504.4925195783685</v>
      </c>
      <c r="T24" s="557">
        <v>3504.4925195783685</v>
      </c>
      <c r="U24" s="279">
        <v>105.13477558735106</v>
      </c>
    </row>
    <row r="25" spans="1:21" ht="15">
      <c r="A25" s="58">
        <v>2026</v>
      </c>
      <c r="B25" s="333">
        <v>71</v>
      </c>
      <c r="C25" s="53"/>
      <c r="D25" s="53"/>
      <c r="E25" s="53">
        <v>11098.44912901779</v>
      </c>
      <c r="F25" s="53">
        <v>11959.638411956934</v>
      </c>
      <c r="G25" s="53">
        <v>0</v>
      </c>
      <c r="H25" s="53">
        <v>0</v>
      </c>
      <c r="I25" s="53">
        <v>8623.355989503754</v>
      </c>
      <c r="J25" s="53"/>
      <c r="K25" s="53">
        <v>500</v>
      </c>
      <c r="L25" s="278">
        <v>23.732423618160663</v>
      </c>
      <c r="M25" s="53">
        <v>32205.175954096638</v>
      </c>
      <c r="N25" s="275">
        <v>0</v>
      </c>
      <c r="O25" s="54">
        <v>0</v>
      </c>
      <c r="P25" s="275">
        <v>-36.08088062962054</v>
      </c>
      <c r="Q25" s="279">
        <v>32169.09507346702</v>
      </c>
      <c r="R25" s="4"/>
      <c r="S25" s="556">
        <v>1202.6960209873514</v>
      </c>
      <c r="T25" s="557">
        <v>1202.6960209873514</v>
      </c>
      <c r="U25" s="279">
        <v>36.08088062962054</v>
      </c>
    </row>
    <row r="26" spans="1:21" ht="15">
      <c r="A26" s="58">
        <v>2027</v>
      </c>
      <c r="B26" s="333">
        <v>72</v>
      </c>
      <c r="C26" s="53"/>
      <c r="D26" s="53"/>
      <c r="E26" s="53">
        <v>11264.925865953057</v>
      </c>
      <c r="F26" s="53">
        <v>12186.871541784114</v>
      </c>
      <c r="G26" s="53">
        <v>0</v>
      </c>
      <c r="H26" s="53">
        <v>0</v>
      </c>
      <c r="I26" s="53">
        <v>8788.370841236187</v>
      </c>
      <c r="J26" s="53"/>
      <c r="K26" s="53">
        <v>5152.531435121466</v>
      </c>
      <c r="L26" s="278">
        <v>4.520730500686453</v>
      </c>
      <c r="M26" s="53">
        <v>37397.22041459551</v>
      </c>
      <c r="N26" s="275">
        <v>0</v>
      </c>
      <c r="O26" s="54">
        <v>0</v>
      </c>
      <c r="P26" s="275">
        <v>-5.285441726878709</v>
      </c>
      <c r="Q26" s="279">
        <v>37391.934972868636</v>
      </c>
      <c r="R26" s="4"/>
      <c r="S26" s="556">
        <v>176.18139089595698</v>
      </c>
      <c r="T26" s="557">
        <v>176.18139089595698</v>
      </c>
      <c r="U26" s="279">
        <v>5.285441726878709</v>
      </c>
    </row>
    <row r="27" spans="1:21" ht="15">
      <c r="A27" s="58">
        <v>2028</v>
      </c>
      <c r="B27" s="333">
        <v>73</v>
      </c>
      <c r="C27" s="53"/>
      <c r="D27" s="53"/>
      <c r="E27" s="53">
        <v>11433.89975394235</v>
      </c>
      <c r="F27" s="53">
        <v>12418.422101078011</v>
      </c>
      <c r="G27" s="53">
        <v>0</v>
      </c>
      <c r="H27" s="53">
        <v>0</v>
      </c>
      <c r="I27" s="53">
        <v>8956.543384860895</v>
      </c>
      <c r="J27" s="53"/>
      <c r="K27" s="53">
        <v>5013.526614061075</v>
      </c>
      <c r="L27" s="278">
        <v>4.66591130603445</v>
      </c>
      <c r="M27" s="53">
        <v>37827.05776524837</v>
      </c>
      <c r="N27" s="275">
        <v>0</v>
      </c>
      <c r="O27" s="54">
        <v>0</v>
      </c>
      <c r="P27" s="275">
        <v>-5.459299203208916</v>
      </c>
      <c r="Q27" s="279">
        <v>37821.59846604516</v>
      </c>
      <c r="R27" s="4"/>
      <c r="S27" s="556">
        <v>181.97664010696388</v>
      </c>
      <c r="T27" s="557">
        <v>181.97664010696388</v>
      </c>
      <c r="U27" s="279">
        <v>5.459299203208916</v>
      </c>
    </row>
    <row r="28" spans="1:21" ht="15">
      <c r="A28" s="58">
        <v>2029</v>
      </c>
      <c r="B28" s="333">
        <v>74</v>
      </c>
      <c r="C28" s="53"/>
      <c r="D28" s="53"/>
      <c r="E28" s="53">
        <v>11605.408250251485</v>
      </c>
      <c r="F28" s="53">
        <v>12654.372120998492</v>
      </c>
      <c r="G28" s="53">
        <v>0</v>
      </c>
      <c r="H28" s="53">
        <v>0</v>
      </c>
      <c r="I28" s="53">
        <v>9127.934045351649</v>
      </c>
      <c r="J28" s="53"/>
      <c r="K28" s="53">
        <v>4878.053925667561</v>
      </c>
      <c r="L28" s="278">
        <v>4.815805993930164</v>
      </c>
      <c r="M28" s="53">
        <v>38270.584148263115</v>
      </c>
      <c r="N28" s="275">
        <v>0</v>
      </c>
      <c r="O28" s="54">
        <v>0</v>
      </c>
      <c r="P28" s="275">
        <v>-5.638945937248672</v>
      </c>
      <c r="Q28" s="279">
        <v>38264.945202325864</v>
      </c>
      <c r="R28" s="4"/>
      <c r="S28" s="556">
        <v>187.96486457495575</v>
      </c>
      <c r="T28" s="557">
        <v>187.96486457495575</v>
      </c>
      <c r="U28" s="279">
        <v>5.638945937248672</v>
      </c>
    </row>
    <row r="29" spans="1:21" ht="15">
      <c r="A29" s="58">
        <v>2030</v>
      </c>
      <c r="B29" s="333">
        <v>75</v>
      </c>
      <c r="C29" s="53"/>
      <c r="D29" s="53"/>
      <c r="E29" s="53">
        <v>11779.489374005256</v>
      </c>
      <c r="F29" s="53">
        <v>12894.805191297462</v>
      </c>
      <c r="G29" s="53">
        <v>0</v>
      </c>
      <c r="H29" s="53">
        <v>0</v>
      </c>
      <c r="I29" s="53">
        <v>9302.604403962672</v>
      </c>
      <c r="J29" s="53"/>
      <c r="K29" s="53">
        <v>4751.325399541669</v>
      </c>
      <c r="L29" s="278">
        <v>4.97056942303955</v>
      </c>
      <c r="M29" s="53">
        <v>38733.194938230095</v>
      </c>
      <c r="N29" s="275">
        <v>0</v>
      </c>
      <c r="O29" s="54">
        <v>0</v>
      </c>
      <c r="P29" s="275">
        <v>-5.824577114232503</v>
      </c>
      <c r="Q29" s="279">
        <v>38727.37036111586</v>
      </c>
      <c r="R29" s="4"/>
      <c r="S29" s="556">
        <v>194.1525704744168</v>
      </c>
      <c r="T29" s="557">
        <v>194.1525704744168</v>
      </c>
      <c r="U29" s="279">
        <v>5.824577114232503</v>
      </c>
    </row>
    <row r="30" spans="1:21" ht="15">
      <c r="A30" s="58">
        <v>2031</v>
      </c>
      <c r="B30" s="333">
        <v>76</v>
      </c>
      <c r="C30" s="53"/>
      <c r="D30" s="53"/>
      <c r="E30" s="53">
        <v>11956.181714615333</v>
      </c>
      <c r="F30" s="53">
        <v>13139.806489932113</v>
      </c>
      <c r="G30" s="53">
        <v>0</v>
      </c>
      <c r="H30" s="53">
        <v>0</v>
      </c>
      <c r="I30" s="53">
        <v>9480.61722035502</v>
      </c>
      <c r="J30" s="53"/>
      <c r="K30" s="53">
        <v>4619.717823339077</v>
      </c>
      <c r="L30" s="278">
        <v>5.130361601870649</v>
      </c>
      <c r="M30" s="53">
        <v>39201.453609843404</v>
      </c>
      <c r="N30" s="275">
        <v>0</v>
      </c>
      <c r="O30" s="54">
        <v>0</v>
      </c>
      <c r="P30" s="275">
        <v>-6.016394581483338</v>
      </c>
      <c r="Q30" s="279">
        <v>39195.43721526192</v>
      </c>
      <c r="R30" s="4"/>
      <c r="S30" s="556">
        <v>200.5464860494446</v>
      </c>
      <c r="T30" s="557">
        <v>200.5464860494446</v>
      </c>
      <c r="U30" s="279">
        <v>6.016394581483338</v>
      </c>
    </row>
    <row r="31" spans="1:21" ht="15">
      <c r="A31" s="58">
        <v>2032</v>
      </c>
      <c r="B31" s="333">
        <v>77</v>
      </c>
      <c r="C31" s="53"/>
      <c r="D31" s="53"/>
      <c r="E31" s="53">
        <v>12135.524440334562</v>
      </c>
      <c r="F31" s="53">
        <v>13389.462813240822</v>
      </c>
      <c r="G31" s="53">
        <v>0</v>
      </c>
      <c r="H31" s="53">
        <v>0</v>
      </c>
      <c r="I31" s="53">
        <v>9662.03645514633</v>
      </c>
      <c r="J31" s="53"/>
      <c r="K31" s="53">
        <v>4494.895302724788</v>
      </c>
      <c r="L31" s="278">
        <v>5.295347862171927</v>
      </c>
      <c r="M31" s="53">
        <v>39687.21435930867</v>
      </c>
      <c r="N31" s="275">
        <v>0</v>
      </c>
      <c r="O31" s="54">
        <v>0</v>
      </c>
      <c r="P31" s="275">
        <v>-6.214607078520092</v>
      </c>
      <c r="Q31" s="279">
        <v>39680.99975223016</v>
      </c>
      <c r="R31" s="4"/>
      <c r="S31" s="556">
        <v>207.15356928400305</v>
      </c>
      <c r="T31" s="557">
        <v>207.15356928400305</v>
      </c>
      <c r="U31" s="279">
        <v>6.214607078520092</v>
      </c>
    </row>
    <row r="32" spans="1:21" ht="15">
      <c r="A32" s="58">
        <v>2033</v>
      </c>
      <c r="B32" s="333">
        <v>78</v>
      </c>
      <c r="C32" s="53"/>
      <c r="D32" s="53"/>
      <c r="E32" s="53">
        <v>12317.557306939578</v>
      </c>
      <c r="F32" s="53">
        <v>13643.862606692395</v>
      </c>
      <c r="G32" s="53">
        <v>0</v>
      </c>
      <c r="H32" s="53">
        <v>0</v>
      </c>
      <c r="I32" s="53">
        <v>9846.927292892096</v>
      </c>
      <c r="J32" s="53"/>
      <c r="K32" s="53">
        <v>4374.998588255485</v>
      </c>
      <c r="L32" s="278">
        <v>5.4656990382414365</v>
      </c>
      <c r="M32" s="53">
        <v>40188.8114938178</v>
      </c>
      <c r="N32" s="275">
        <v>0</v>
      </c>
      <c r="O32" s="54">
        <v>0</v>
      </c>
      <c r="P32" s="275">
        <v>-6.419430475202657</v>
      </c>
      <c r="Q32" s="279">
        <v>40182.392063342595</v>
      </c>
      <c r="R32" s="4"/>
      <c r="S32" s="556">
        <v>213.98101584008856</v>
      </c>
      <c r="T32" s="557">
        <v>213.98101584008856</v>
      </c>
      <c r="U32" s="279">
        <v>6.419430475202657</v>
      </c>
    </row>
    <row r="33" spans="1:21" ht="15">
      <c r="A33" s="58">
        <v>2034</v>
      </c>
      <c r="B33" s="333">
        <v>79</v>
      </c>
      <c r="C33" s="53"/>
      <c r="D33" s="53"/>
      <c r="E33" s="53">
        <v>12502.32066654367</v>
      </c>
      <c r="F33" s="53">
        <v>13903.09599621955</v>
      </c>
      <c r="G33" s="53">
        <v>0</v>
      </c>
      <c r="H33" s="53">
        <v>0</v>
      </c>
      <c r="I33" s="53">
        <v>10035.356165506706</v>
      </c>
      <c r="J33" s="53"/>
      <c r="K33" s="53">
        <v>4258.316809897469</v>
      </c>
      <c r="L33" s="278">
        <v>5.641591652350694</v>
      </c>
      <c r="M33" s="53">
        <v>40704.73122981974</v>
      </c>
      <c r="N33" s="275">
        <v>0</v>
      </c>
      <c r="O33" s="54">
        <v>0</v>
      </c>
      <c r="P33" s="275">
        <v>-6.631088018197961</v>
      </c>
      <c r="Q33" s="279">
        <v>40698.100141801544</v>
      </c>
      <c r="R33" s="4"/>
      <c r="S33" s="556">
        <v>221.03626727326537</v>
      </c>
      <c r="T33" s="557">
        <v>221.03626727326537</v>
      </c>
      <c r="U33" s="279">
        <v>6.631088018197961</v>
      </c>
    </row>
    <row r="34" spans="1:21" ht="15">
      <c r="A34" s="58">
        <v>2035</v>
      </c>
      <c r="B34" s="333">
        <v>80</v>
      </c>
      <c r="C34" s="53"/>
      <c r="D34" s="53"/>
      <c r="E34" s="53">
        <v>12689.855476541823</v>
      </c>
      <c r="F34" s="53">
        <v>14167.25482014772</v>
      </c>
      <c r="G34" s="53">
        <v>0</v>
      </c>
      <c r="H34" s="53">
        <v>0</v>
      </c>
      <c r="I34" s="53">
        <v>10227.39077613265</v>
      </c>
      <c r="J34" s="53"/>
      <c r="K34" s="53">
        <v>5643.28690424557</v>
      </c>
      <c r="L34" s="278">
        <v>5.823208106494307</v>
      </c>
      <c r="M34" s="53">
        <v>42733.61118517425</v>
      </c>
      <c r="N34" s="275">
        <v>0</v>
      </c>
      <c r="O34" s="54">
        <v>0</v>
      </c>
      <c r="P34" s="275">
        <v>-6.849810586060846</v>
      </c>
      <c r="Q34" s="279">
        <v>42726.76137458819</v>
      </c>
      <c r="R34" s="4"/>
      <c r="S34" s="556">
        <v>228.32701953536153</v>
      </c>
      <c r="T34" s="557">
        <v>228.32701953536153</v>
      </c>
      <c r="U34" s="279">
        <v>6.849810586060846</v>
      </c>
    </row>
    <row r="35" spans="1:21" ht="15">
      <c r="A35" s="58">
        <v>2036</v>
      </c>
      <c r="B35" s="333">
        <v>81</v>
      </c>
      <c r="C35" s="53"/>
      <c r="D35" s="53"/>
      <c r="E35" s="53">
        <v>12880.203308689948</v>
      </c>
      <c r="F35" s="53">
        <v>14436.432661730525</v>
      </c>
      <c r="G35" s="53">
        <v>0</v>
      </c>
      <c r="H35" s="53">
        <v>0</v>
      </c>
      <c r="I35" s="53">
        <v>10423.100123466495</v>
      </c>
      <c r="J35" s="53"/>
      <c r="K35" s="53">
        <v>3893.6465265756233</v>
      </c>
      <c r="L35" s="278">
        <v>6.010736880683717</v>
      </c>
      <c r="M35" s="53">
        <v>41639.39335734328</v>
      </c>
      <c r="N35" s="275">
        <v>0</v>
      </c>
      <c r="O35" s="54">
        <v>0</v>
      </c>
      <c r="P35" s="275">
        <v>-7.075836953234</v>
      </c>
      <c r="Q35" s="279">
        <v>41632.31752039005</v>
      </c>
      <c r="R35" s="4"/>
      <c r="S35" s="556">
        <v>235.8612317744667</v>
      </c>
      <c r="T35" s="557">
        <v>235.8612317744667</v>
      </c>
      <c r="U35" s="279">
        <v>7.075836953234</v>
      </c>
    </row>
    <row r="36" spans="1:21" ht="15">
      <c r="A36" s="58">
        <v>2037</v>
      </c>
      <c r="B36" s="333">
        <v>82</v>
      </c>
      <c r="C36" s="53"/>
      <c r="D36" s="53"/>
      <c r="E36" s="53">
        <v>13073.406358320297</v>
      </c>
      <c r="F36" s="53">
        <v>14710.724882303404</v>
      </c>
      <c r="G36" s="53">
        <v>0</v>
      </c>
      <c r="H36" s="53">
        <v>0</v>
      </c>
      <c r="I36" s="53">
        <v>10622.554526550359</v>
      </c>
      <c r="J36" s="53"/>
      <c r="K36" s="53">
        <v>3789.3857761028403</v>
      </c>
      <c r="L36" s="278">
        <v>6.204372738011108</v>
      </c>
      <c r="M36" s="53">
        <v>42202.27591601491</v>
      </c>
      <c r="N36" s="275">
        <v>0</v>
      </c>
      <c r="O36" s="54">
        <v>0</v>
      </c>
      <c r="P36" s="275">
        <v>-7.309414063282026</v>
      </c>
      <c r="Q36" s="279">
        <v>42194.966501951625</v>
      </c>
      <c r="R36" s="4"/>
      <c r="S36" s="556">
        <v>243.64713544273422</v>
      </c>
      <c r="T36" s="557">
        <v>243.64713544273422</v>
      </c>
      <c r="U36" s="279">
        <v>7.309414063282026</v>
      </c>
    </row>
    <row r="37" spans="1:21" ht="15">
      <c r="A37" s="58">
        <v>2038</v>
      </c>
      <c r="B37" s="333">
        <v>83</v>
      </c>
      <c r="C37" s="53"/>
      <c r="D37" s="53"/>
      <c r="E37" s="53">
        <v>13269.5074536951</v>
      </c>
      <c r="F37" s="53">
        <v>14990.228655067167</v>
      </c>
      <c r="G37" s="53">
        <v>0</v>
      </c>
      <c r="H37" s="53">
        <v>0</v>
      </c>
      <c r="I37" s="53">
        <v>10825.82565003778</v>
      </c>
      <c r="J37" s="53"/>
      <c r="K37" s="53">
        <v>3685.2199524689777</v>
      </c>
      <c r="L37" s="278">
        <v>6.404316936717327</v>
      </c>
      <c r="M37" s="53">
        <v>42777.18602820574</v>
      </c>
      <c r="N37" s="275">
        <v>0</v>
      </c>
      <c r="O37" s="54">
        <v>0</v>
      </c>
      <c r="P37" s="275">
        <v>-7.550797311685906</v>
      </c>
      <c r="Q37" s="279">
        <v>42769.635230894055</v>
      </c>
      <c r="R37" s="4"/>
      <c r="S37" s="556">
        <v>251.69324372286354</v>
      </c>
      <c r="T37" s="557">
        <v>251.69324372286354</v>
      </c>
      <c r="U37" s="279">
        <v>7.550797311685906</v>
      </c>
    </row>
    <row r="38" spans="1:21" ht="15">
      <c r="A38" s="58">
        <v>2039</v>
      </c>
      <c r="B38" s="333">
        <v>84</v>
      </c>
      <c r="C38" s="53"/>
      <c r="D38" s="53"/>
      <c r="E38" s="53">
        <v>13468.550065500522</v>
      </c>
      <c r="F38" s="53">
        <v>15275.042999513442</v>
      </c>
      <c r="G38" s="53">
        <v>0</v>
      </c>
      <c r="H38" s="53">
        <v>0</v>
      </c>
      <c r="I38" s="53">
        <v>11032.986529943071</v>
      </c>
      <c r="J38" s="53"/>
      <c r="K38" s="53">
        <v>3582.860232515455</v>
      </c>
      <c r="L38" s="278">
        <v>6.610777449505954</v>
      </c>
      <c r="M38" s="53">
        <v>43366.05060492199</v>
      </c>
      <c r="N38" s="275">
        <v>0</v>
      </c>
      <c r="O38" s="54">
        <v>0</v>
      </c>
      <c r="P38" s="275">
        <v>-7.800250838535855</v>
      </c>
      <c r="Q38" s="279">
        <v>43358.25035408346</v>
      </c>
      <c r="S38" s="556">
        <v>260.0083612845285</v>
      </c>
      <c r="T38" s="557">
        <v>260.0083612845285</v>
      </c>
      <c r="U38" s="279">
        <v>7.800250838535855</v>
      </c>
    </row>
    <row r="39" spans="1:21" ht="15">
      <c r="A39" s="58">
        <v>2040</v>
      </c>
      <c r="B39" s="333">
        <v>85</v>
      </c>
      <c r="C39" s="53"/>
      <c r="D39" s="53"/>
      <c r="E39" s="53">
        <v>13670.578316483028</v>
      </c>
      <c r="F39" s="53">
        <v>15565.268816504196</v>
      </c>
      <c r="G39" s="53">
        <v>0</v>
      </c>
      <c r="H39" s="53">
        <v>0</v>
      </c>
      <c r="I39" s="53">
        <v>11244.111599883418</v>
      </c>
      <c r="J39" s="53"/>
      <c r="K39" s="53">
        <v>3482.948179334938</v>
      </c>
      <c r="L39" s="278">
        <v>6.823969190354006</v>
      </c>
      <c r="M39" s="53">
        <v>43969.73088139593</v>
      </c>
      <c r="N39" s="275">
        <v>0</v>
      </c>
      <c r="O39" s="54">
        <v>0</v>
      </c>
      <c r="P39" s="275">
        <v>-8.05804783147253</v>
      </c>
      <c r="Q39" s="279">
        <v>43961.67283356446</v>
      </c>
      <c r="S39" s="556">
        <v>268.60159438241766</v>
      </c>
      <c r="T39" s="557">
        <v>268.60159438241766</v>
      </c>
      <c r="U39" s="279">
        <v>8.05804783147253</v>
      </c>
    </row>
    <row r="40" spans="1:21" ht="15">
      <c r="A40" s="58">
        <v>2041</v>
      </c>
      <c r="B40" s="333">
        <v>86</v>
      </c>
      <c r="C40" s="53"/>
      <c r="D40" s="53"/>
      <c r="E40" s="53">
        <v>13875.63699123027</v>
      </c>
      <c r="F40" s="53">
        <v>15861.008924017775</v>
      </c>
      <c r="G40" s="53">
        <v>0</v>
      </c>
      <c r="H40" s="53">
        <v>0</v>
      </c>
      <c r="I40" s="53">
        <v>11459.27671782313</v>
      </c>
      <c r="J40" s="53"/>
      <c r="K40" s="53">
        <v>3385.1525738470805</v>
      </c>
      <c r="L40" s="278">
        <v>7.044114249078609</v>
      </c>
      <c r="M40" s="53">
        <v>44588.11932116734</v>
      </c>
      <c r="N40" s="275">
        <v>0</v>
      </c>
      <c r="O40" s="275">
        <v>0</v>
      </c>
      <c r="P40" s="275">
        <v>-8.324470839239074</v>
      </c>
      <c r="Q40" s="279">
        <v>44579.7948503281</v>
      </c>
      <c r="S40" s="556">
        <v>277.48236130796914</v>
      </c>
      <c r="T40" s="557">
        <v>277.48236130796914</v>
      </c>
      <c r="U40" s="279">
        <v>8.324470839239074</v>
      </c>
    </row>
    <row r="41" spans="1:21" ht="15">
      <c r="A41" s="58">
        <v>2042</v>
      </c>
      <c r="B41" s="333">
        <v>87</v>
      </c>
      <c r="C41" s="53"/>
      <c r="D41" s="53"/>
      <c r="E41" s="53">
        <v>14083.771546098724</v>
      </c>
      <c r="F41" s="53">
        <v>16162.36809357411</v>
      </c>
      <c r="G41" s="53">
        <v>0</v>
      </c>
      <c r="H41" s="53">
        <v>0</v>
      </c>
      <c r="I41" s="53">
        <v>11678.559193329667</v>
      </c>
      <c r="J41" s="53"/>
      <c r="K41" s="53">
        <v>3291.17964446547</v>
      </c>
      <c r="L41" s="278">
        <v>2.213949937152473</v>
      </c>
      <c r="M41" s="53">
        <v>45218.09242740513</v>
      </c>
      <c r="N41" s="275">
        <v>0</v>
      </c>
      <c r="O41" s="275">
        <v>0</v>
      </c>
      <c r="P41" s="275">
        <v>-8.599812096219456</v>
      </c>
      <c r="Q41" s="279">
        <v>45209.49261530891</v>
      </c>
      <c r="S41" s="556">
        <v>286.6604032073152</v>
      </c>
      <c r="T41" s="557">
        <v>286.6604032073152</v>
      </c>
      <c r="U41" s="279">
        <v>8.599812096219456</v>
      </c>
    </row>
    <row r="42" spans="1:21" ht="15">
      <c r="A42" s="58">
        <v>2043</v>
      </c>
      <c r="B42" s="333">
        <v>88</v>
      </c>
      <c r="C42" s="53"/>
      <c r="D42" s="53"/>
      <c r="E42" s="53">
        <v>14295.028119290202</v>
      </c>
      <c r="F42" s="53">
        <v>16469.453087352016</v>
      </c>
      <c r="G42" s="53">
        <v>0</v>
      </c>
      <c r="H42" s="53">
        <v>0</v>
      </c>
      <c r="I42" s="53">
        <v>11902.037815351236</v>
      </c>
      <c r="J42" s="53"/>
      <c r="K42" s="53">
        <v>3146.8618363317273</v>
      </c>
      <c r="L42" s="278">
        <v>2.2969730597956906</v>
      </c>
      <c r="M42" s="53">
        <v>45815.67783138498</v>
      </c>
      <c r="N42" s="275">
        <v>0</v>
      </c>
      <c r="O42" s="275">
        <v>0</v>
      </c>
      <c r="P42" s="275">
        <v>-8.732649092448604</v>
      </c>
      <c r="Q42" s="279">
        <v>45806.94518229253</v>
      </c>
      <c r="S42" s="556">
        <v>291.08830308162015</v>
      </c>
      <c r="T42" s="557">
        <v>291.08830308162015</v>
      </c>
      <c r="U42" s="279">
        <v>8.732649092448604</v>
      </c>
    </row>
    <row r="43" spans="1:21" ht="15">
      <c r="A43" s="58">
        <v>2044</v>
      </c>
      <c r="B43" s="333">
        <v>89</v>
      </c>
      <c r="C43" s="53"/>
      <c r="D43" s="53"/>
      <c r="E43" s="53">
        <v>14509.453541079556</v>
      </c>
      <c r="F43" s="53">
        <v>16782.372696011702</v>
      </c>
      <c r="G43" s="53">
        <v>0</v>
      </c>
      <c r="H43" s="53">
        <v>0</v>
      </c>
      <c r="I43" s="53">
        <v>12129.792880525929</v>
      </c>
      <c r="J43" s="53"/>
      <c r="K43" s="53">
        <v>3009.351810360315</v>
      </c>
      <c r="L43" s="278">
        <v>2.383109549538029</v>
      </c>
      <c r="M43" s="53">
        <v>46433.35403752704</v>
      </c>
      <c r="N43" s="275">
        <v>0</v>
      </c>
      <c r="O43" s="275">
        <v>0</v>
      </c>
      <c r="P43" s="275">
        <v>-8.900467476036345</v>
      </c>
      <c r="Q43" s="279">
        <v>46424.453570051</v>
      </c>
      <c r="S43" s="556">
        <v>296.6822492012115</v>
      </c>
      <c r="T43" s="557">
        <v>296.6822492012115</v>
      </c>
      <c r="U43" s="279">
        <v>8.900467476036345</v>
      </c>
    </row>
    <row r="44" spans="1:21" ht="15">
      <c r="A44" s="58">
        <v>2045</v>
      </c>
      <c r="B44" s="333">
        <v>90</v>
      </c>
      <c r="C44" s="53"/>
      <c r="D44" s="53"/>
      <c r="E44" s="53">
        <v>14727.095344195746</v>
      </c>
      <c r="F44" s="53">
        <v>17101.23777723592</v>
      </c>
      <c r="G44" s="53">
        <v>0</v>
      </c>
      <c r="H44" s="53">
        <v>0</v>
      </c>
      <c r="I44" s="53">
        <v>12361.90622203258</v>
      </c>
      <c r="J44" s="53"/>
      <c r="K44" s="53">
        <v>2878.9919002286188</v>
      </c>
      <c r="L44" s="278">
        <v>2.472476157645705</v>
      </c>
      <c r="M44" s="53">
        <v>47071.703719850506</v>
      </c>
      <c r="N44" s="275">
        <v>0</v>
      </c>
      <c r="O44" s="275">
        <v>0</v>
      </c>
      <c r="P44" s="275">
        <v>-9.103454049008628</v>
      </c>
      <c r="Q44" s="279">
        <v>47062.6002658015</v>
      </c>
      <c r="S44" s="556">
        <v>303.4484683002876</v>
      </c>
      <c r="T44" s="557">
        <v>303.4484683002876</v>
      </c>
      <c r="U44" s="279">
        <v>9.103454049008628</v>
      </c>
    </row>
    <row r="45" spans="1:21" ht="15.75" thickBot="1">
      <c r="A45" s="11">
        <v>2046</v>
      </c>
      <c r="B45" s="334">
        <v>91</v>
      </c>
      <c r="C45" s="56"/>
      <c r="D45" s="56"/>
      <c r="E45" s="56">
        <v>14948.001774358681</v>
      </c>
      <c r="F45" s="56">
        <v>17426.161295003403</v>
      </c>
      <c r="G45" s="56">
        <v>0</v>
      </c>
      <c r="H45" s="56">
        <v>0</v>
      </c>
      <c r="I45" s="56">
        <v>12598.461238993712</v>
      </c>
      <c r="J45" s="56"/>
      <c r="K45" s="56">
        <v>2752.6139379786155</v>
      </c>
      <c r="L45" s="280">
        <v>2.5651940135574187</v>
      </c>
      <c r="M45" s="56">
        <v>47727.80344034797</v>
      </c>
      <c r="N45" s="276">
        <v>0</v>
      </c>
      <c r="O45" s="276">
        <v>0</v>
      </c>
      <c r="P45" s="276">
        <v>-9.34180261846737</v>
      </c>
      <c r="Q45" s="532">
        <v>47718.4616377295</v>
      </c>
      <c r="S45" s="558">
        <v>311.393420615579</v>
      </c>
      <c r="T45" s="559">
        <v>311.393420615579</v>
      </c>
      <c r="U45" s="532">
        <v>9.34180261846737</v>
      </c>
    </row>
    <row r="46" spans="3:21" ht="1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53"/>
      <c r="Q46" s="21"/>
      <c r="R46" s="21"/>
      <c r="S46" s="557"/>
      <c r="T46" s="557"/>
      <c r="U46" s="557"/>
    </row>
    <row r="47" spans="3:21" ht="1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53"/>
      <c r="Q47" s="21"/>
      <c r="R47" s="21"/>
      <c r="S47" s="557"/>
      <c r="T47" s="557"/>
      <c r="U47" s="557"/>
    </row>
    <row r="48" spans="3:21" ht="1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53"/>
      <c r="Q48" s="21"/>
      <c r="R48" s="21"/>
      <c r="S48" s="557"/>
      <c r="T48" s="557"/>
      <c r="U48" s="557"/>
    </row>
    <row r="49" spans="3:21" ht="1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53"/>
      <c r="Q49" s="21"/>
      <c r="R49" s="21"/>
      <c r="S49" s="557"/>
      <c r="T49" s="557"/>
      <c r="U49" s="557"/>
    </row>
    <row r="50" spans="3:21" ht="1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53"/>
      <c r="Q50" s="21"/>
      <c r="R50" s="21"/>
      <c r="S50" s="557"/>
      <c r="T50" s="557"/>
      <c r="U50" s="557"/>
    </row>
    <row r="51" spans="3:16" ht="1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3:16" ht="1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3:16" ht="1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3:16" ht="1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ht="1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ht="1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3:16" ht="1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3:16" ht="1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3:16" ht="1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3:16" ht="1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ht="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3:16" ht="1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ht="1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3:16" ht="1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ht="1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ht="1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3:16" ht="1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3:16" ht="1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ht="1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3:16" ht="1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3:16" ht="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3:16" ht="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3:1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3:1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3:1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3:16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3:16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3:16" ht="1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3:16" ht="1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3:16" ht="1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3:16" ht="1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3:16" ht="1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3:16" ht="1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3:16" ht="1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3:16" ht="1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3:16" ht="1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3:16" ht="1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3:16" ht="1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3:16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3:16" ht="1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3:16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3:16" ht="1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3:16" ht="1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3:16" ht="1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3:16" ht="1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6" ht="1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3:16" ht="1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3:16" ht="1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3:16" ht="1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3:16" ht="1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3:16" ht="1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3:16" ht="1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3:16" ht="1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3:16" ht="1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3:16" ht="1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3:16" ht="1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3:16" ht="1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3:16" ht="1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3:16" ht="1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3:16" ht="1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3:16" ht="1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3:16" ht="1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6" ht="1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3:16" ht="1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3:16" ht="1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6" ht="1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3:16" ht="1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3:16" ht="1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3:16" ht="1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3:16" ht="1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3:16" ht="1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3:16" ht="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3:16" ht="1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ht="1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ht="1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3:16" ht="1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3:16" ht="1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3:16" ht="1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3:16" ht="1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ht="1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3:16" ht="1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3:16" ht="1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3:16" ht="1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3:16" ht="1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3:16" ht="1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3:16" ht="1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3:16" ht="1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3:16" ht="1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3:16" ht="1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3:16" ht="1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3:16" ht="1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3:16" ht="1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3:16" ht="1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3:16" ht="1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3:16" ht="1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3:16" ht="1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3:16" ht="1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3:16" ht="1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3:16" ht="1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3:16" ht="1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3:16" ht="1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3:16" ht="1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3:16" ht="1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3:16" ht="1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3:16" ht="1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3:16" ht="1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3:16" ht="1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3:16" ht="1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3:16" ht="1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3:16" ht="1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3:16" ht="1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3:16" ht="1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3:16" ht="1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3:16" ht="1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3:16" ht="1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3:16" ht="1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3:16" ht="1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3:16" ht="1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3:16" ht="1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3:16" ht="1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3:16" ht="1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3:16" ht="1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3:16" ht="1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3:16" ht="1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3:16" ht="1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3:16" ht="1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3:16" ht="1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3:16" ht="1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3:16" ht="1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3:16" ht="1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3:16" ht="1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3:16" ht="1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3:16" ht="1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3:16" ht="1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3:16" ht="1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3:16" ht="1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3:16" ht="1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3:16" ht="1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3:16" ht="1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3:16" ht="1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3:16" ht="1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3:16" ht="1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3:16" ht="1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3:16" ht="1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3:16" ht="1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3:16" ht="1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3:16" ht="1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3:16" ht="1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3:16" ht="1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3:16" ht="1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3:16" ht="1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3:16" ht="1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3:16" ht="1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3:16" ht="1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3:16" ht="1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3:16" ht="1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3:16" ht="1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3:16" ht="1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3:16" ht="1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3:16" ht="1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3:16" ht="1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3:16" ht="1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3:16" ht="1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3:16" ht="1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3:16" ht="1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3:16" ht="1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3:16" ht="1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3:16" ht="1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3:16" ht="1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3:16" ht="1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3:16" ht="1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3:16" ht="1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3:16" ht="1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3:16" ht="1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3:16" ht="1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3:16" ht="1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3:16" ht="1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3:16" ht="1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3:16" ht="1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3:16" ht="1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3:16" ht="1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3:16" ht="1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3:16" ht="1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3:16" ht="1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3:16" ht="1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3:16" ht="1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3:16" ht="1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3:16" ht="1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3:16" ht="1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3:16" ht="1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3:16" ht="1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3:16" ht="1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3:16" ht="1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3:16" ht="1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3:16" ht="1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3:16" ht="1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3:16" ht="1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3:16" ht="1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3:16" ht="1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3:16" ht="1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3:16" ht="1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3:16" ht="1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3:16" ht="1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3:16" ht="1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3:16" ht="1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3:16" ht="1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3:16" ht="1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3:16" ht="1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3:16" ht="1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3:16" ht="1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3:16" ht="1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3:16" ht="1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3:16" ht="1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3:16" ht="1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3:16" ht="1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3:16" ht="1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3:16" ht="1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3:16" ht="1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3:16" ht="1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3:16" ht="1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3:16" ht="1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3:16" ht="1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3:16" ht="1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3:16" ht="1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3:16" ht="1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3:16" ht="1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3:16" ht="1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3:16" ht="1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3:16" ht="1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3:16" ht="1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3:16" ht="1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3:16" ht="1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3:16" ht="1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3:16" ht="1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3:16" ht="1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3:16" ht="1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3:16" ht="1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3:16" ht="1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3:16" ht="1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3:16" ht="1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3:16" ht="1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3:16" ht="1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3:16" ht="1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3:16" ht="1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3:16" ht="1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3:16" ht="1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3:16" ht="1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3:16" ht="1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3:16" ht="1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3:16" ht="1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3:16" ht="1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3:16" ht="1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3:16" ht="1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3:16" ht="1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3:16" ht="1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3:16" ht="1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3:16" ht="1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3:16" ht="1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3:16" ht="1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3:16" ht="1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3:16" ht="1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3:16" ht="1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3:16" ht="1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3:16" ht="1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3:16" ht="1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3:16" ht="1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3:16" ht="1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3:16" ht="1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3:16" ht="1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3:16" ht="1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3:16" ht="1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3:16" ht="1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3:16" ht="1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3:16" ht="1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3:16" ht="1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3:16" ht="1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3:16" ht="1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3:16" ht="1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3:16" ht="1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3:16" ht="1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3:16" ht="1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3:16" ht="1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3:16" ht="1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3:16" ht="1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3:16" ht="1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3:16" ht="1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3:16" ht="1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3:16" ht="1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3:16" ht="1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3:16" ht="1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3:16" ht="1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3:16" ht="1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3:16" ht="1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3:16" ht="1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3:16" ht="1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3:16" ht="1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3:16" ht="1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3:16" ht="1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3:16" ht="1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3:16" ht="1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3:16" ht="1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3:16" ht="1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3:16" ht="1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3:16" ht="1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3:16" ht="1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3:16" ht="1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3:16" ht="1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3:16" ht="1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3:16" ht="1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3:16" ht="1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3:16" ht="1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3:16" ht="1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3:16" ht="1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3:16" ht="1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3:16" ht="1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3:16" ht="1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3:16" ht="1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3:16" ht="1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3:16" ht="1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3:16" ht="1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3:16" ht="1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3:16" ht="1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3:16" ht="1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3:16" ht="1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3:16" ht="1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3:16" ht="1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3:16" ht="1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3:16" ht="1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3:16" ht="1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3:16" ht="1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3:16" ht="1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3:16" ht="1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3:16" ht="1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3:16" ht="1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3:16" ht="1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3:16" ht="1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3:16" ht="1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3:16" ht="1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3:16" ht="1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3:16" ht="1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3:16" ht="1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3:16" ht="1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3:16" ht="1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3:16" ht="1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3:16" ht="1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3:16" ht="1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3:16" ht="1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3:16" ht="1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3:16" ht="1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3:16" ht="1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3:16" ht="1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3:16" ht="1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3:16" ht="1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3:16" ht="1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3:16" ht="1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3:16" ht="1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3:16" ht="1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3:16" ht="1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3:16" ht="1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3:16" ht="1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3:16" ht="1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3:16" ht="1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3:16" ht="1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3:16" ht="1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3:16" ht="1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3:16" ht="1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3:16" ht="1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3:16" ht="1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3:16" ht="1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3:16" ht="1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3:16" ht="1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3:16" ht="1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3:16" ht="1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3:16" ht="1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3:16" ht="1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3:16" ht="1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3:16" ht="1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3:16" ht="1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3:16" ht="1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3:16" ht="1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3:16" ht="1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3:16" ht="1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3:16" ht="1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3:16" ht="1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3:16" ht="1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3:16" ht="1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3:16" ht="1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3:16" ht="1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3:16" ht="1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3:16" ht="1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3:16" ht="1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3:16" ht="1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3:16" ht="1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3:16" ht="1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3:16" ht="1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3:16" ht="1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3:16" ht="1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3:16" ht="1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3:16" ht="1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3:16" ht="1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3:16" ht="1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3:16" ht="1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3:16" ht="1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3:16" ht="1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3:16" ht="1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3:16" ht="1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3:16" ht="1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3:16" ht="1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3:16" ht="1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3:16" ht="1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3:16" ht="1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3:16" ht="1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3:16" ht="1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3:16" ht="1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3:16" ht="1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3:16" ht="1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3:16" ht="1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3:16" ht="1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3:16" ht="1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3:16" ht="1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3:16" ht="1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3:16" ht="1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3:16" ht="1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3:16" ht="1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3:16" ht="1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3:16" ht="1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3:16" ht="1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3:16" ht="1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3:16" ht="1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3:16" ht="1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3:16" ht="1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3:16" ht="1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3:16" ht="1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3:16" ht="1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3:16" ht="1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3:16" ht="1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3:16" ht="1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3:16" ht="1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3:16" ht="1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6" ht="1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3:16" ht="1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3:16" ht="1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3:16" ht="1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3:16" ht="1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3:16" ht="1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3:16" ht="1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3:16" ht="1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3:16" ht="1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3:16" ht="1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3:16" ht="1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3:16" ht="1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3:16" ht="1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3:16" ht="1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3:16" ht="1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3:16" ht="1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3:16" ht="1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3:16" ht="1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3:16" ht="1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3:16" ht="1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3:16" ht="1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3:16" ht="1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3:16" ht="1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3:16" ht="1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3:16" ht="1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3:16" ht="1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3:16" ht="1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3:16" ht="1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3:16" ht="1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3:16" ht="1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3:16" ht="1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3:16" ht="1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3:16" ht="1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3:16" ht="1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3:16" ht="1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3:16" ht="1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3:16" ht="1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3:16" ht="1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3:16" ht="1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3:16" ht="1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3:16" ht="1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3:16" ht="1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3:16" ht="1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3:16" ht="1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3:16" ht="1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3:16" ht="1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3:16" ht="1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3:16" ht="1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3:16" ht="1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3:16" ht="1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3:16" ht="1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3:16" ht="1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3:16" ht="1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3:16" ht="1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3:16" ht="1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3:16" ht="1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3:16" ht="1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3:16" ht="1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3:16" ht="1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3:16" ht="1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3:16" ht="1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3:16" ht="1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3:16" ht="1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3:16" ht="1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3:16" ht="1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3:16" ht="1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3:16" ht="1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3:16" ht="1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3:16" ht="1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3:16" ht="1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3:16" ht="1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3:16" ht="1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</sheetData>
  <sheetProtection password="DF35" sheet="1" objects="1" scenarios="1"/>
  <printOptions gridLines="1" horizontalCentered="1" verticalCentered="1"/>
  <pageMargins left="0.75" right="0.75" top="1" bottom="1" header="0.5" footer="0.5"/>
  <pageSetup fitToHeight="1" fitToWidth="1" horizontalDpi="300" verticalDpi="300" orientation="landscape" scale="69" r:id="rId1"/>
  <headerFooter alignWithMargins="0">
    <oddHeader>&amp;L&amp;D&amp;C&amp;"Arial,Bold"&amp;12&amp;A&amp;R&amp;T</oddHeader>
    <oddFooter>&amp;LC:\Documents and Settings\Norm Collins\My Documents\Norm\Financial Assessment Base.xls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398"/>
  <sheetViews>
    <sheetView workbookViewId="0" topLeftCell="A1">
      <selection activeCell="I6" sqref="I6"/>
    </sheetView>
  </sheetViews>
  <sheetFormatPr defaultColWidth="9.140625" defaultRowHeight="12.75"/>
  <cols>
    <col min="1" max="1" width="19.00390625" style="61" bestFit="1" customWidth="1"/>
    <col min="2" max="2" width="4.00390625" style="396" bestFit="1" customWidth="1"/>
    <col min="3" max="3" width="5.57421875" style="61" bestFit="1" customWidth="1"/>
    <col min="4" max="4" width="5.7109375" style="61" bestFit="1" customWidth="1"/>
    <col min="5" max="6" width="14.28125" style="61" bestFit="1" customWidth="1"/>
    <col min="7" max="7" width="13.00390625" style="61" customWidth="1"/>
    <col min="8" max="8" width="12.57421875" style="61" customWidth="1"/>
    <col min="9" max="10" width="9.140625" style="61" customWidth="1"/>
    <col min="11" max="11" width="13.421875" style="61" bestFit="1" customWidth="1"/>
    <col min="12" max="12" width="9.140625" style="61" customWidth="1"/>
    <col min="13" max="13" width="10.140625" style="61" bestFit="1" customWidth="1"/>
    <col min="14" max="16384" width="9.140625" style="61" customWidth="1"/>
  </cols>
  <sheetData>
    <row r="1" spans="1:9" ht="15.75" thickBot="1">
      <c r="A1" s="450" t="s">
        <v>338</v>
      </c>
      <c r="B1" s="451"/>
      <c r="C1" s="451"/>
      <c r="D1" s="451"/>
      <c r="E1" s="451"/>
      <c r="F1" s="451"/>
      <c r="G1" s="451"/>
      <c r="H1" s="452"/>
      <c r="I1" s="453"/>
    </row>
    <row r="2" ht="15" thickBot="1"/>
    <row r="3" spans="1:9" ht="14.25">
      <c r="A3" s="454" t="s">
        <v>295</v>
      </c>
      <c r="B3" s="455" t="s">
        <v>297</v>
      </c>
      <c r="C3" s="65">
        <v>1965</v>
      </c>
      <c r="D3" s="65">
        <v>12</v>
      </c>
      <c r="E3" s="65"/>
      <c r="F3" s="65"/>
      <c r="G3" s="65"/>
      <c r="H3" s="77"/>
      <c r="I3" s="69"/>
    </row>
    <row r="4" spans="1:9" ht="14.25">
      <c r="A4" s="68" t="s">
        <v>296</v>
      </c>
      <c r="B4" s="253"/>
      <c r="C4" s="69"/>
      <c r="D4" s="69"/>
      <c r="E4" s="69"/>
      <c r="F4" s="69"/>
      <c r="G4" s="69"/>
      <c r="H4" s="78"/>
      <c r="I4" s="69"/>
    </row>
    <row r="5" spans="1:9" ht="14.25">
      <c r="A5" s="456" t="s">
        <v>326</v>
      </c>
      <c r="B5" s="253" t="s">
        <v>298</v>
      </c>
      <c r="C5" s="69">
        <v>1973</v>
      </c>
      <c r="D5" s="69">
        <v>1</v>
      </c>
      <c r="E5" s="69"/>
      <c r="F5" s="69"/>
      <c r="G5" s="69"/>
      <c r="H5" s="78"/>
      <c r="I5" s="69"/>
    </row>
    <row r="6" spans="1:9" ht="14.25">
      <c r="A6" s="68"/>
      <c r="B6" s="253"/>
      <c r="C6" s="69"/>
      <c r="D6" s="69"/>
      <c r="E6" s="69"/>
      <c r="F6" s="69"/>
      <c r="G6" s="69"/>
      <c r="H6" s="78"/>
      <c r="I6" s="69"/>
    </row>
    <row r="7" spans="1:9" ht="15" thickBot="1">
      <c r="A7" s="73" t="s">
        <v>299</v>
      </c>
      <c r="B7" s="83"/>
      <c r="C7" s="74">
        <v>1973</v>
      </c>
      <c r="D7" s="74">
        <v>1</v>
      </c>
      <c r="E7" s="74"/>
      <c r="F7" s="74"/>
      <c r="G7" s="74"/>
      <c r="H7" s="200"/>
      <c r="I7" s="69"/>
    </row>
    <row r="8" spans="1:9" ht="14.25">
      <c r="A8" s="64"/>
      <c r="B8" s="455"/>
      <c r="C8" s="65"/>
      <c r="D8" s="65"/>
      <c r="E8" s="65"/>
      <c r="F8" s="65"/>
      <c r="G8" s="65"/>
      <c r="H8" s="77"/>
      <c r="I8" s="69"/>
    </row>
    <row r="9" spans="1:66" ht="14.25">
      <c r="A9" s="68" t="s">
        <v>300</v>
      </c>
      <c r="B9" s="253"/>
      <c r="C9" s="69"/>
      <c r="D9" s="69"/>
      <c r="E9" s="69"/>
      <c r="F9" s="457">
        <v>908.75</v>
      </c>
      <c r="G9" s="457"/>
      <c r="H9" s="458"/>
      <c r="I9" s="45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</row>
    <row r="10" spans="1:66" ht="14.25">
      <c r="A10" s="68" t="s">
        <v>330</v>
      </c>
      <c r="B10" s="253"/>
      <c r="C10" s="69"/>
      <c r="D10" s="85">
        <v>0.019</v>
      </c>
      <c r="E10" s="69"/>
      <c r="F10" s="457">
        <v>1117.7905866642154</v>
      </c>
      <c r="G10" s="457"/>
      <c r="H10" s="458"/>
      <c r="I10" s="45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</row>
    <row r="11" spans="1:66" ht="15" thickBot="1">
      <c r="A11" s="68"/>
      <c r="B11" s="253"/>
      <c r="C11" s="69"/>
      <c r="D11" s="69"/>
      <c r="E11" s="69"/>
      <c r="F11" s="457"/>
      <c r="G11" s="457"/>
      <c r="H11" s="458"/>
      <c r="I11" s="45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</row>
    <row r="12" spans="1:66" ht="14.25">
      <c r="A12" s="64" t="s">
        <v>331</v>
      </c>
      <c r="B12" s="455"/>
      <c r="C12" s="65"/>
      <c r="D12" s="65"/>
      <c r="E12" s="65"/>
      <c r="F12" s="459">
        <v>780.6951701058356</v>
      </c>
      <c r="G12" s="460">
        <v>0.8590868446831753</v>
      </c>
      <c r="H12" s="461"/>
      <c r="I12" s="45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</row>
    <row r="13" spans="1:66" ht="15" thickBot="1">
      <c r="A13" s="73" t="s">
        <v>332</v>
      </c>
      <c r="B13" s="83"/>
      <c r="C13" s="74"/>
      <c r="D13" s="74"/>
      <c r="E13" s="462"/>
      <c r="F13" s="463">
        <v>526.61</v>
      </c>
      <c r="G13" s="462"/>
      <c r="H13" s="464"/>
      <c r="I13" s="45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</row>
    <row r="14" spans="1:66" ht="15" thickBot="1">
      <c r="A14" s="386"/>
      <c r="B14" s="253"/>
      <c r="C14" s="69"/>
      <c r="D14" s="69"/>
      <c r="E14" s="457"/>
      <c r="F14" s="465"/>
      <c r="G14" s="457"/>
      <c r="H14" s="458"/>
      <c r="I14" s="45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</row>
    <row r="15" spans="1:66" ht="14.25">
      <c r="A15" s="64" t="s">
        <v>340</v>
      </c>
      <c r="B15" s="455"/>
      <c r="C15" s="65"/>
      <c r="D15" s="65"/>
      <c r="E15" s="65"/>
      <c r="F15" s="459">
        <v>1011.743524706836</v>
      </c>
      <c r="G15" s="460">
        <v>0.9051279701022961</v>
      </c>
      <c r="H15" s="461"/>
      <c r="I15" s="45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</row>
    <row r="16" spans="1:66" ht="14.25">
      <c r="A16" s="68" t="s">
        <v>332</v>
      </c>
      <c r="B16" s="253"/>
      <c r="C16" s="69"/>
      <c r="D16" s="69"/>
      <c r="E16" s="457"/>
      <c r="F16" s="465"/>
      <c r="G16" s="457"/>
      <c r="H16" s="458"/>
      <c r="I16" s="45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</row>
    <row r="17" spans="1:66" ht="15" thickBot="1">
      <c r="A17" s="73" t="s">
        <v>333</v>
      </c>
      <c r="B17" s="83"/>
      <c r="C17" s="74"/>
      <c r="D17" s="74"/>
      <c r="E17" s="462"/>
      <c r="F17" s="463">
        <v>1011.743524706836</v>
      </c>
      <c r="G17" s="462"/>
      <c r="H17" s="464"/>
      <c r="I17" s="45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</row>
    <row r="18" spans="1:66" ht="14.25">
      <c r="A18" s="68"/>
      <c r="B18" s="253"/>
      <c r="C18" s="69"/>
      <c r="D18" s="69"/>
      <c r="E18" s="457"/>
      <c r="F18" s="465"/>
      <c r="G18" s="457"/>
      <c r="H18" s="458"/>
      <c r="I18" s="45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</row>
    <row r="19" spans="1:66" ht="14.25">
      <c r="A19" s="68" t="s">
        <v>334</v>
      </c>
      <c r="B19" s="253"/>
      <c r="C19" s="69"/>
      <c r="D19" s="69"/>
      <c r="E19" s="69"/>
      <c r="F19" s="466">
        <v>65</v>
      </c>
      <c r="G19" s="457"/>
      <c r="H19" s="458"/>
      <c r="I19" s="45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</row>
    <row r="20" spans="1:66" ht="14.25">
      <c r="A20" s="386" t="s">
        <v>335</v>
      </c>
      <c r="B20" s="253"/>
      <c r="C20" s="69"/>
      <c r="D20" s="69"/>
      <c r="E20" s="69"/>
      <c r="F20" s="466">
        <v>30</v>
      </c>
      <c r="G20" s="457"/>
      <c r="H20" s="458"/>
      <c r="I20" s="45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</row>
    <row r="21" spans="1:66" ht="15" thickBot="1">
      <c r="A21" s="394" t="s">
        <v>336</v>
      </c>
      <c r="B21" s="83"/>
      <c r="C21" s="74"/>
      <c r="D21" s="74"/>
      <c r="E21" s="74"/>
      <c r="F21" s="467">
        <v>0.7446808510638298</v>
      </c>
      <c r="G21" s="462"/>
      <c r="H21" s="464"/>
      <c r="I21" s="45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</row>
    <row r="22" spans="1:66" ht="14.25">
      <c r="A22" s="64"/>
      <c r="B22" s="455"/>
      <c r="C22" s="65"/>
      <c r="D22" s="65"/>
      <c r="E22" s="459"/>
      <c r="F22" s="459"/>
      <c r="G22" s="459"/>
      <c r="H22" s="461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</row>
    <row r="23" spans="1:66" ht="14.25">
      <c r="A23" s="68" t="s">
        <v>301</v>
      </c>
      <c r="B23" s="253"/>
      <c r="C23" s="69">
        <v>2020</v>
      </c>
      <c r="D23" s="69">
        <v>1</v>
      </c>
      <c r="E23" s="457"/>
      <c r="F23" s="457"/>
      <c r="G23" s="457"/>
      <c r="H23" s="458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</row>
    <row r="24" spans="1:66" ht="14.25">
      <c r="A24" s="68" t="s">
        <v>354</v>
      </c>
      <c r="B24" s="253"/>
      <c r="C24" s="69">
        <v>2018</v>
      </c>
      <c r="D24" s="69">
        <v>1</v>
      </c>
      <c r="E24" s="457"/>
      <c r="F24" s="457"/>
      <c r="G24" s="457"/>
      <c r="H24" s="458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</row>
    <row r="25" spans="1:66" ht="15" thickBot="1">
      <c r="A25" s="68" t="s">
        <v>302</v>
      </c>
      <c r="B25" s="253"/>
      <c r="C25" s="69">
        <v>2008</v>
      </c>
      <c r="D25" s="69">
        <v>12</v>
      </c>
      <c r="E25" s="457"/>
      <c r="F25" s="457"/>
      <c r="G25" s="457"/>
      <c r="H25" s="458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</row>
    <row r="26" spans="1:66" ht="14.25">
      <c r="A26" s="64"/>
      <c r="B26" s="455"/>
      <c r="C26" s="65"/>
      <c r="D26" s="65"/>
      <c r="E26" s="459"/>
      <c r="F26" s="459"/>
      <c r="G26" s="459"/>
      <c r="H26" s="459"/>
      <c r="I26" s="459"/>
      <c r="J26" s="459"/>
      <c r="K26" s="459"/>
      <c r="L26" s="459"/>
      <c r="M26" s="461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</row>
    <row r="27" spans="1:66" ht="28.5">
      <c r="A27" s="68"/>
      <c r="B27" s="253"/>
      <c r="C27" s="69"/>
      <c r="D27" s="69"/>
      <c r="E27" s="478" t="s">
        <v>305</v>
      </c>
      <c r="F27" s="253" t="s">
        <v>306</v>
      </c>
      <c r="G27" s="596" t="s">
        <v>303</v>
      </c>
      <c r="H27" s="597" t="s">
        <v>337</v>
      </c>
      <c r="I27" s="597"/>
      <c r="J27" s="478" t="s">
        <v>305</v>
      </c>
      <c r="K27" s="457"/>
      <c r="L27" s="457"/>
      <c r="M27" s="458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</row>
    <row r="28" spans="1:66" ht="14.25">
      <c r="A28" s="68"/>
      <c r="B28" s="253"/>
      <c r="C28" s="69"/>
      <c r="D28" s="69"/>
      <c r="E28" s="457"/>
      <c r="F28" s="69"/>
      <c r="G28" s="457"/>
      <c r="H28" s="69"/>
      <c r="I28" s="69"/>
      <c r="J28" s="457"/>
      <c r="K28" s="478" t="s">
        <v>329</v>
      </c>
      <c r="L28" s="457"/>
      <c r="M28" s="458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</row>
    <row r="29" spans="1:66" ht="14.25">
      <c r="A29" s="68" t="s">
        <v>228</v>
      </c>
      <c r="B29" s="253"/>
      <c r="C29" s="69"/>
      <c r="D29" s="69"/>
      <c r="E29" s="457"/>
      <c r="F29" s="69"/>
      <c r="G29" s="457"/>
      <c r="H29" s="69"/>
      <c r="I29" s="69"/>
      <c r="J29" s="457"/>
      <c r="K29" s="457"/>
      <c r="L29" s="85"/>
      <c r="M29" s="458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</row>
    <row r="30" spans="1:66" ht="14.25">
      <c r="A30" s="598" t="s">
        <v>339</v>
      </c>
      <c r="B30" s="468"/>
      <c r="C30" s="469">
        <v>45</v>
      </c>
      <c r="D30" s="469">
        <v>0</v>
      </c>
      <c r="E30" s="470">
        <v>37.63708663268149</v>
      </c>
      <c r="F30" s="471">
        <v>45</v>
      </c>
      <c r="G30" s="470">
        <v>6.75</v>
      </c>
      <c r="H30" s="470">
        <v>38.25</v>
      </c>
      <c r="I30" s="470">
        <v>34.621144856412826</v>
      </c>
      <c r="J30" s="599">
        <v>0.9051279701022961</v>
      </c>
      <c r="K30" s="600">
        <v>1566291.2646320271</v>
      </c>
      <c r="L30" s="85">
        <v>1</v>
      </c>
      <c r="M30" s="458">
        <v>1011.743524706836</v>
      </c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</row>
    <row r="31" spans="1:66" ht="14.25">
      <c r="A31" s="601" t="s">
        <v>301</v>
      </c>
      <c r="B31" s="479"/>
      <c r="C31" s="378">
        <v>47</v>
      </c>
      <c r="D31" s="378">
        <v>0</v>
      </c>
      <c r="E31" s="477">
        <v>37.63708663268149</v>
      </c>
      <c r="F31" s="480">
        <v>47</v>
      </c>
      <c r="G31" s="477">
        <v>7.05</v>
      </c>
      <c r="H31" s="477">
        <v>39.95</v>
      </c>
      <c r="I31" s="477">
        <v>35.227205462473435</v>
      </c>
      <c r="J31" s="602">
        <v>0.8817823645174827</v>
      </c>
      <c r="K31" s="600">
        <v>1323288.1812986939</v>
      </c>
      <c r="L31" s="85">
        <v>1</v>
      </c>
      <c r="M31" s="458">
        <v>1011.743524706836</v>
      </c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</row>
    <row r="32" spans="1:66" ht="15" thickBot="1">
      <c r="A32" s="394" t="s">
        <v>307</v>
      </c>
      <c r="B32" s="83"/>
      <c r="C32" s="74">
        <v>35</v>
      </c>
      <c r="D32" s="74">
        <v>11</v>
      </c>
      <c r="E32" s="476">
        <v>28.63708663268149</v>
      </c>
      <c r="F32" s="603">
        <v>35.916666666666664</v>
      </c>
      <c r="G32" s="476">
        <v>5.3875</v>
      </c>
      <c r="H32" s="476">
        <v>30.529166666666665</v>
      </c>
      <c r="I32" s="476">
        <v>26.22720546247344</v>
      </c>
      <c r="J32" s="357">
        <v>0.8590868446831753</v>
      </c>
      <c r="K32" s="462"/>
      <c r="L32" s="462"/>
      <c r="M32" s="464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</row>
    <row r="33" spans="5:66" ht="15" thickBot="1">
      <c r="E33" s="397"/>
      <c r="F33" s="397"/>
      <c r="G33" s="472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</row>
    <row r="34" spans="1:66" ht="14.25">
      <c r="A34" s="64" t="s">
        <v>304</v>
      </c>
      <c r="B34" s="455"/>
      <c r="C34" s="65"/>
      <c r="D34" s="65"/>
      <c r="E34" s="460">
        <v>0.022</v>
      </c>
      <c r="F34" s="459"/>
      <c r="G34" s="459"/>
      <c r="H34" s="459"/>
      <c r="I34" s="459"/>
      <c r="J34" s="461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</row>
    <row r="35" spans="1:66" ht="14.25">
      <c r="A35" s="68"/>
      <c r="B35" s="253"/>
      <c r="C35" s="69"/>
      <c r="D35" s="69"/>
      <c r="E35" s="457"/>
      <c r="F35" s="457"/>
      <c r="G35" s="457"/>
      <c r="H35" s="457"/>
      <c r="I35" s="457"/>
      <c r="J35" s="458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</row>
    <row r="36" spans="1:66" ht="14.25">
      <c r="A36" s="68">
        <v>1966</v>
      </c>
      <c r="B36" s="253"/>
      <c r="C36" s="69"/>
      <c r="D36" s="69"/>
      <c r="E36" s="457">
        <v>5000</v>
      </c>
      <c r="F36" s="457"/>
      <c r="G36" s="457"/>
      <c r="H36" s="457"/>
      <c r="I36" s="457"/>
      <c r="J36" s="458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</row>
    <row r="37" spans="1:66" ht="14.25">
      <c r="A37" s="68">
        <v>1967</v>
      </c>
      <c r="B37" s="253"/>
      <c r="C37" s="69"/>
      <c r="D37" s="69"/>
      <c r="E37" s="457">
        <v>5000</v>
      </c>
      <c r="F37" s="457"/>
      <c r="G37" s="457"/>
      <c r="H37" s="457"/>
      <c r="I37" s="457"/>
      <c r="J37" s="458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</row>
    <row r="38" spans="1:66" ht="14.25">
      <c r="A38" s="68">
        <v>1968</v>
      </c>
      <c r="B38" s="253"/>
      <c r="C38" s="69"/>
      <c r="D38" s="69"/>
      <c r="E38" s="457">
        <v>5100</v>
      </c>
      <c r="F38" s="457"/>
      <c r="G38" s="457"/>
      <c r="H38" s="478"/>
      <c r="I38" s="457"/>
      <c r="J38" s="458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</row>
    <row r="39" spans="1:66" ht="14.25">
      <c r="A39" s="68">
        <v>1969</v>
      </c>
      <c r="B39" s="253"/>
      <c r="C39" s="69"/>
      <c r="D39" s="69"/>
      <c r="E39" s="457">
        <v>5200</v>
      </c>
      <c r="F39" s="457"/>
      <c r="G39" s="457"/>
      <c r="H39" s="478"/>
      <c r="I39" s="466"/>
      <c r="J39" s="458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</row>
    <row r="40" spans="1:66" ht="14.25">
      <c r="A40" s="68">
        <v>1970</v>
      </c>
      <c r="B40" s="253"/>
      <c r="C40" s="69"/>
      <c r="D40" s="69"/>
      <c r="E40" s="457">
        <v>5300</v>
      </c>
      <c r="F40" s="457"/>
      <c r="G40" s="457"/>
      <c r="H40" s="478"/>
      <c r="I40" s="466"/>
      <c r="J40" s="458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</row>
    <row r="41" spans="1:66" ht="14.25">
      <c r="A41" s="68">
        <v>1971</v>
      </c>
      <c r="B41" s="253"/>
      <c r="C41" s="69"/>
      <c r="D41" s="69"/>
      <c r="E41" s="457">
        <v>5400</v>
      </c>
      <c r="F41" s="457"/>
      <c r="G41" s="457"/>
      <c r="H41" s="478"/>
      <c r="I41" s="466"/>
      <c r="J41" s="458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</row>
    <row r="42" spans="1:66" ht="14.25">
      <c r="A42" s="68">
        <v>1972</v>
      </c>
      <c r="B42" s="253"/>
      <c r="C42" s="69"/>
      <c r="D42" s="69"/>
      <c r="E42" s="457">
        <v>5500</v>
      </c>
      <c r="F42" s="457"/>
      <c r="G42" s="477"/>
      <c r="H42" s="478"/>
      <c r="I42" s="466" t="s">
        <v>1</v>
      </c>
      <c r="J42" s="604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</row>
    <row r="43" spans="1:66" ht="14.25">
      <c r="A43" s="68">
        <v>1973</v>
      </c>
      <c r="B43" s="253"/>
      <c r="C43" s="69">
        <v>18</v>
      </c>
      <c r="D43" s="69"/>
      <c r="E43" s="457">
        <v>5600</v>
      </c>
      <c r="F43" s="457">
        <v>0</v>
      </c>
      <c r="G43" s="477">
        <v>0</v>
      </c>
      <c r="H43" s="478" t="s">
        <v>328</v>
      </c>
      <c r="I43" s="466">
        <v>12</v>
      </c>
      <c r="J43" s="604">
        <v>0</v>
      </c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</row>
    <row r="44" spans="1:66" ht="14.25">
      <c r="A44" s="68">
        <v>1974</v>
      </c>
      <c r="B44" s="253"/>
      <c r="C44" s="69">
        <v>19</v>
      </c>
      <c r="D44" s="69"/>
      <c r="E44" s="457">
        <v>6600</v>
      </c>
      <c r="F44" s="457">
        <v>5000</v>
      </c>
      <c r="G44" s="477">
        <v>0.7575757575757576</v>
      </c>
      <c r="H44" s="478"/>
      <c r="I44" s="466" t="s">
        <v>1</v>
      </c>
      <c r="J44" s="604">
        <v>0.7575757575757576</v>
      </c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</row>
    <row r="45" spans="1:66" ht="14.25">
      <c r="A45" s="68">
        <v>1975</v>
      </c>
      <c r="B45" s="253"/>
      <c r="C45" s="69">
        <v>20</v>
      </c>
      <c r="D45" s="69"/>
      <c r="E45" s="457">
        <v>7400</v>
      </c>
      <c r="F45" s="457">
        <v>5500</v>
      </c>
      <c r="G45" s="477">
        <v>0</v>
      </c>
      <c r="H45" s="478" t="s">
        <v>328</v>
      </c>
      <c r="I45" s="466">
        <v>12</v>
      </c>
      <c r="J45" s="604">
        <v>0.7432432432432432</v>
      </c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</row>
    <row r="46" spans="1:66" ht="14.25">
      <c r="A46" s="68">
        <v>1976</v>
      </c>
      <c r="B46" s="253"/>
      <c r="C46" s="69">
        <v>21</v>
      </c>
      <c r="D46" s="69"/>
      <c r="E46" s="457">
        <v>8300</v>
      </c>
      <c r="F46" s="457">
        <v>5500</v>
      </c>
      <c r="G46" s="477">
        <v>0</v>
      </c>
      <c r="H46" s="478" t="s">
        <v>328</v>
      </c>
      <c r="I46" s="466">
        <v>12</v>
      </c>
      <c r="J46" s="604">
        <v>0.6626506024096386</v>
      </c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</row>
    <row r="47" spans="1:66" ht="14.25">
      <c r="A47" s="68">
        <v>1977</v>
      </c>
      <c r="B47" s="253"/>
      <c r="C47" s="69">
        <v>22</v>
      </c>
      <c r="D47" s="69"/>
      <c r="E47" s="457">
        <v>9300</v>
      </c>
      <c r="F47" s="457">
        <v>5800</v>
      </c>
      <c r="G47" s="477">
        <v>0</v>
      </c>
      <c r="H47" s="478" t="s">
        <v>328</v>
      </c>
      <c r="I47" s="466">
        <v>12</v>
      </c>
      <c r="J47" s="605">
        <v>0.6236559139784946</v>
      </c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</row>
    <row r="48" spans="1:66" ht="14.25">
      <c r="A48" s="68">
        <v>1978</v>
      </c>
      <c r="B48" s="253"/>
      <c r="C48" s="69">
        <v>23</v>
      </c>
      <c r="D48" s="69"/>
      <c r="E48" s="457">
        <v>10400</v>
      </c>
      <c r="F48" s="457">
        <v>10400</v>
      </c>
      <c r="G48" s="477">
        <v>1</v>
      </c>
      <c r="H48" s="478"/>
      <c r="I48" s="466" t="s">
        <v>1</v>
      </c>
      <c r="J48" s="605">
        <v>1</v>
      </c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</row>
    <row r="49" spans="1:66" ht="14.25">
      <c r="A49" s="68">
        <v>1979</v>
      </c>
      <c r="B49" s="253"/>
      <c r="C49" s="69">
        <v>24</v>
      </c>
      <c r="D49" s="69"/>
      <c r="E49" s="457">
        <v>11700</v>
      </c>
      <c r="F49" s="457">
        <v>11000</v>
      </c>
      <c r="G49" s="477">
        <v>0.9401709401709402</v>
      </c>
      <c r="H49" s="478"/>
      <c r="I49" s="466" t="s">
        <v>1</v>
      </c>
      <c r="J49" s="605">
        <v>0.9401709401709402</v>
      </c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</row>
    <row r="50" spans="1:66" ht="14.25">
      <c r="A50" s="68">
        <v>1980</v>
      </c>
      <c r="B50" s="253"/>
      <c r="C50" s="69">
        <v>25</v>
      </c>
      <c r="D50" s="69"/>
      <c r="E50" s="457">
        <v>13100</v>
      </c>
      <c r="F50" s="457">
        <v>11004</v>
      </c>
      <c r="G50" s="477">
        <v>0.84</v>
      </c>
      <c r="H50" s="478"/>
      <c r="I50" s="466"/>
      <c r="J50" s="605">
        <v>0.84</v>
      </c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</row>
    <row r="51" spans="1:66" ht="14.25">
      <c r="A51" s="68">
        <v>1981</v>
      </c>
      <c r="B51" s="253"/>
      <c r="C51" s="69">
        <v>26</v>
      </c>
      <c r="D51" s="69"/>
      <c r="E51" s="457">
        <v>14700</v>
      </c>
      <c r="F51" s="457">
        <v>11300</v>
      </c>
      <c r="G51" s="477">
        <v>0.7687074829931972</v>
      </c>
      <c r="H51" s="478"/>
      <c r="I51" s="466"/>
      <c r="J51" s="605">
        <v>0.7687074829931972</v>
      </c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</row>
    <row r="52" spans="1:66" ht="14.25">
      <c r="A52" s="68">
        <v>1982</v>
      </c>
      <c r="B52" s="253"/>
      <c r="C52" s="69">
        <v>27</v>
      </c>
      <c r="D52" s="69"/>
      <c r="E52" s="457">
        <v>16500</v>
      </c>
      <c r="F52" s="457">
        <v>12000</v>
      </c>
      <c r="G52" s="477">
        <v>0.7272727272727273</v>
      </c>
      <c r="H52" s="478"/>
      <c r="I52" s="466">
        <v>9</v>
      </c>
      <c r="J52" s="605">
        <v>0.7272727272727273</v>
      </c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</row>
    <row r="53" spans="1:66" ht="14.25">
      <c r="A53" s="68">
        <v>1983</v>
      </c>
      <c r="B53" s="253"/>
      <c r="C53" s="69">
        <v>28</v>
      </c>
      <c r="D53" s="69"/>
      <c r="E53" s="457">
        <v>18500</v>
      </c>
      <c r="F53" s="457">
        <v>16500</v>
      </c>
      <c r="G53" s="477">
        <v>0.8918918918918919</v>
      </c>
      <c r="H53" s="478"/>
      <c r="I53" s="466"/>
      <c r="J53" s="605">
        <v>0.8918918918918919</v>
      </c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</row>
    <row r="54" spans="1:66" ht="14.25">
      <c r="A54" s="68">
        <v>1984</v>
      </c>
      <c r="B54" s="253"/>
      <c r="C54" s="69">
        <v>29</v>
      </c>
      <c r="D54" s="69"/>
      <c r="E54" s="457">
        <v>20800</v>
      </c>
      <c r="F54" s="457">
        <v>17000</v>
      </c>
      <c r="G54" s="477">
        <v>0.8173076923076923</v>
      </c>
      <c r="H54" s="478"/>
      <c r="I54" s="466"/>
      <c r="J54" s="605">
        <v>0.8173076923076923</v>
      </c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</row>
    <row r="55" spans="1:66" ht="14.25">
      <c r="A55" s="68">
        <v>1985</v>
      </c>
      <c r="B55" s="253"/>
      <c r="C55" s="69">
        <v>30</v>
      </c>
      <c r="D55" s="69"/>
      <c r="E55" s="457">
        <v>23400</v>
      </c>
      <c r="F55" s="457">
        <v>17200</v>
      </c>
      <c r="G55" s="477">
        <v>0.7350427350427351</v>
      </c>
      <c r="H55" s="478"/>
      <c r="I55" s="466"/>
      <c r="J55" s="605">
        <v>0.7350427350427351</v>
      </c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</row>
    <row r="56" spans="1:66" ht="14.25">
      <c r="A56" s="68">
        <v>1986</v>
      </c>
      <c r="B56" s="253"/>
      <c r="C56" s="69">
        <v>31</v>
      </c>
      <c r="D56" s="69"/>
      <c r="E56" s="457">
        <v>25800</v>
      </c>
      <c r="F56" s="457">
        <v>17500</v>
      </c>
      <c r="G56" s="477">
        <v>0.6782945736434108</v>
      </c>
      <c r="H56" s="478"/>
      <c r="I56" s="466"/>
      <c r="J56" s="605">
        <v>0.6782945736434108</v>
      </c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</row>
    <row r="57" spans="1:66" ht="14.25">
      <c r="A57" s="68">
        <v>1987</v>
      </c>
      <c r="B57" s="253"/>
      <c r="C57" s="69">
        <v>32</v>
      </c>
      <c r="D57" s="69"/>
      <c r="E57" s="457">
        <v>25900</v>
      </c>
      <c r="F57" s="457">
        <v>23000</v>
      </c>
      <c r="G57" s="477">
        <v>0.888030888030888</v>
      </c>
      <c r="H57" s="478"/>
      <c r="I57" s="466"/>
      <c r="J57" s="605">
        <v>0.888030888030888</v>
      </c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</row>
    <row r="58" spans="1:66" ht="14.25">
      <c r="A58" s="68">
        <v>1988</v>
      </c>
      <c r="B58" s="253"/>
      <c r="C58" s="69">
        <v>33</v>
      </c>
      <c r="D58" s="69"/>
      <c r="E58" s="457">
        <v>26500</v>
      </c>
      <c r="F58" s="457">
        <v>23500</v>
      </c>
      <c r="G58" s="477">
        <v>0.8867924528301887</v>
      </c>
      <c r="H58" s="478"/>
      <c r="I58" s="466"/>
      <c r="J58" s="605">
        <v>0.8867924528301887</v>
      </c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</row>
    <row r="59" spans="1:66" ht="14.25">
      <c r="A59" s="68">
        <v>1989</v>
      </c>
      <c r="B59" s="253"/>
      <c r="C59" s="69">
        <v>34</v>
      </c>
      <c r="D59" s="69"/>
      <c r="E59" s="457">
        <v>27700</v>
      </c>
      <c r="F59" s="457">
        <v>24000</v>
      </c>
      <c r="G59" s="477">
        <v>0.8664259927797834</v>
      </c>
      <c r="H59" s="478"/>
      <c r="I59" s="466"/>
      <c r="J59" s="605">
        <v>0.8664259927797834</v>
      </c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</row>
    <row r="60" spans="1:66" ht="14.25">
      <c r="A60" s="68">
        <v>1990</v>
      </c>
      <c r="B60" s="253"/>
      <c r="C60" s="69">
        <v>35</v>
      </c>
      <c r="D60" s="69"/>
      <c r="E60" s="457">
        <v>28900</v>
      </c>
      <c r="F60" s="457">
        <v>24500</v>
      </c>
      <c r="G60" s="477">
        <v>0.8477508650519031</v>
      </c>
      <c r="H60" s="478"/>
      <c r="I60" s="466"/>
      <c r="J60" s="605">
        <v>0.8477508650519031</v>
      </c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</row>
    <row r="61" spans="1:66" ht="14.25">
      <c r="A61" s="68">
        <v>1991</v>
      </c>
      <c r="B61" s="253"/>
      <c r="C61" s="69">
        <v>36</v>
      </c>
      <c r="D61" s="69"/>
      <c r="E61" s="457">
        <v>30500</v>
      </c>
      <c r="F61" s="457">
        <v>24900</v>
      </c>
      <c r="G61" s="477">
        <v>0.8163934426229508</v>
      </c>
      <c r="H61" s="478"/>
      <c r="I61" s="466"/>
      <c r="J61" s="605">
        <v>0.8163934426229508</v>
      </c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</row>
    <row r="62" spans="1:66" ht="14.25">
      <c r="A62" s="68">
        <v>1992</v>
      </c>
      <c r="B62" s="253"/>
      <c r="C62" s="69">
        <v>37</v>
      </c>
      <c r="D62" s="69"/>
      <c r="E62" s="457">
        <v>32200</v>
      </c>
      <c r="F62" s="457">
        <v>25600</v>
      </c>
      <c r="G62" s="477">
        <v>0.7950310559006211</v>
      </c>
      <c r="H62" s="478"/>
      <c r="I62" s="466"/>
      <c r="J62" s="605">
        <v>0.7950310559006211</v>
      </c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</row>
    <row r="63" spans="1:66" ht="14.25">
      <c r="A63" s="68">
        <v>1993</v>
      </c>
      <c r="B63" s="253"/>
      <c r="C63" s="69">
        <v>38</v>
      </c>
      <c r="D63" s="69"/>
      <c r="E63" s="457">
        <v>33400</v>
      </c>
      <c r="F63" s="457">
        <v>26000</v>
      </c>
      <c r="G63" s="477">
        <v>0.7784431137724551</v>
      </c>
      <c r="H63" s="478"/>
      <c r="I63" s="466"/>
      <c r="J63" s="605">
        <v>0.7784431137724551</v>
      </c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</row>
    <row r="64" spans="1:66" ht="14.25">
      <c r="A64" s="68">
        <v>1994</v>
      </c>
      <c r="B64" s="253"/>
      <c r="C64" s="69">
        <v>39</v>
      </c>
      <c r="D64" s="69"/>
      <c r="E64" s="457">
        <v>34400</v>
      </c>
      <c r="F64" s="457">
        <v>26500</v>
      </c>
      <c r="G64" s="477">
        <v>0.7703488372093024</v>
      </c>
      <c r="H64" s="478"/>
      <c r="I64" s="466"/>
      <c r="J64" s="605">
        <v>0.7703488372093024</v>
      </c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</row>
    <row r="65" spans="1:66" ht="14.25">
      <c r="A65" s="68">
        <v>1995</v>
      </c>
      <c r="B65" s="253"/>
      <c r="C65" s="69">
        <v>40</v>
      </c>
      <c r="D65" s="69"/>
      <c r="E65" s="457">
        <v>34900</v>
      </c>
      <c r="F65" s="457">
        <v>27000</v>
      </c>
      <c r="G65" s="477">
        <v>0.7736389684813754</v>
      </c>
      <c r="H65" s="478"/>
      <c r="I65" s="466"/>
      <c r="J65" s="605">
        <v>0.7736389684813754</v>
      </c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</row>
    <row r="66" spans="1:66" ht="14.25">
      <c r="A66" s="68">
        <v>1996</v>
      </c>
      <c r="B66" s="253"/>
      <c r="C66" s="69">
        <v>41</v>
      </c>
      <c r="D66" s="69"/>
      <c r="E66" s="457">
        <v>35400</v>
      </c>
      <c r="F66" s="457">
        <v>29000</v>
      </c>
      <c r="G66" s="477">
        <v>0.8192090395480226</v>
      </c>
      <c r="H66" s="478"/>
      <c r="I66" s="466"/>
      <c r="J66" s="605">
        <v>0.8192090395480226</v>
      </c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  <c r="AO66" s="397"/>
      <c r="AP66" s="397"/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97"/>
      <c r="BD66" s="397"/>
      <c r="BE66" s="397"/>
      <c r="BF66" s="397"/>
      <c r="BG66" s="397"/>
      <c r="BH66" s="397"/>
      <c r="BI66" s="397"/>
      <c r="BJ66" s="397"/>
      <c r="BK66" s="397"/>
      <c r="BL66" s="397"/>
      <c r="BM66" s="397"/>
      <c r="BN66" s="397"/>
    </row>
    <row r="67" spans="1:66" ht="14.25">
      <c r="A67" s="68">
        <v>1997</v>
      </c>
      <c r="B67" s="253"/>
      <c r="C67" s="69">
        <v>42</v>
      </c>
      <c r="D67" s="69"/>
      <c r="E67" s="457">
        <v>35800</v>
      </c>
      <c r="F67" s="457">
        <v>7200</v>
      </c>
      <c r="G67" s="477">
        <v>0</v>
      </c>
      <c r="H67" s="478" t="s">
        <v>328</v>
      </c>
      <c r="I67" s="466">
        <v>12</v>
      </c>
      <c r="J67" s="605">
        <v>0.2011173184357542</v>
      </c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</row>
    <row r="68" spans="1:66" ht="14.25">
      <c r="A68" s="68">
        <v>1998</v>
      </c>
      <c r="B68" s="253"/>
      <c r="C68" s="69">
        <v>43</v>
      </c>
      <c r="D68" s="69"/>
      <c r="E68" s="457">
        <v>36900</v>
      </c>
      <c r="F68" s="457">
        <v>6613</v>
      </c>
      <c r="G68" s="477">
        <v>0</v>
      </c>
      <c r="H68" s="478" t="s">
        <v>328</v>
      </c>
      <c r="I68" s="466">
        <v>12</v>
      </c>
      <c r="J68" s="605">
        <v>0.1792140921409214</v>
      </c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</row>
    <row r="69" spans="1:66" ht="14.25">
      <c r="A69" s="68">
        <v>1999</v>
      </c>
      <c r="B69" s="253"/>
      <c r="C69" s="69">
        <v>44</v>
      </c>
      <c r="D69" s="69"/>
      <c r="E69" s="457">
        <v>37400</v>
      </c>
      <c r="F69" s="457">
        <v>31000</v>
      </c>
      <c r="G69" s="477">
        <v>0.8288770053475936</v>
      </c>
      <c r="H69" s="478"/>
      <c r="I69" s="466"/>
      <c r="J69" s="605">
        <v>0.8288770053475936</v>
      </c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97"/>
      <c r="BD69" s="397"/>
      <c r="BE69" s="397"/>
      <c r="BF69" s="397"/>
      <c r="BG69" s="397"/>
      <c r="BH69" s="397"/>
      <c r="BI69" s="397"/>
      <c r="BJ69" s="397"/>
      <c r="BK69" s="397"/>
      <c r="BL69" s="397"/>
      <c r="BM69" s="397"/>
      <c r="BN69" s="397"/>
    </row>
    <row r="70" spans="1:66" ht="14.25">
      <c r="A70" s="68">
        <v>2000</v>
      </c>
      <c r="B70" s="253"/>
      <c r="C70" s="69">
        <v>45</v>
      </c>
      <c r="D70" s="69"/>
      <c r="E70" s="457">
        <v>37600</v>
      </c>
      <c r="F70" s="457">
        <v>37600</v>
      </c>
      <c r="G70" s="477">
        <v>1</v>
      </c>
      <c r="H70" s="478"/>
      <c r="I70" s="466"/>
      <c r="J70" s="605">
        <v>1</v>
      </c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  <c r="AR70" s="397"/>
      <c r="AS70" s="397"/>
      <c r="AT70" s="397"/>
      <c r="AU70" s="397"/>
      <c r="AV70" s="397"/>
      <c r="AW70" s="397"/>
      <c r="AX70" s="397"/>
      <c r="AY70" s="397"/>
      <c r="AZ70" s="397"/>
      <c r="BA70" s="397"/>
      <c r="BB70" s="397"/>
      <c r="BC70" s="397"/>
      <c r="BD70" s="397"/>
      <c r="BE70" s="397"/>
      <c r="BF70" s="397"/>
      <c r="BG70" s="397"/>
      <c r="BH70" s="397"/>
      <c r="BI70" s="397"/>
      <c r="BJ70" s="397"/>
      <c r="BK70" s="397"/>
      <c r="BL70" s="397"/>
      <c r="BM70" s="397"/>
      <c r="BN70" s="397"/>
    </row>
    <row r="71" spans="1:66" ht="14.25">
      <c r="A71" s="68">
        <v>2001</v>
      </c>
      <c r="B71" s="253"/>
      <c r="C71" s="69">
        <v>46</v>
      </c>
      <c r="D71" s="69"/>
      <c r="E71" s="457">
        <v>38300</v>
      </c>
      <c r="F71" s="457">
        <v>38300</v>
      </c>
      <c r="G71" s="477">
        <v>1</v>
      </c>
      <c r="H71" s="478"/>
      <c r="I71" s="466"/>
      <c r="J71" s="605">
        <v>1</v>
      </c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7"/>
      <c r="AL71" s="397"/>
      <c r="AM71" s="397"/>
      <c r="AN71" s="397"/>
      <c r="AO71" s="397"/>
      <c r="AP71" s="397"/>
      <c r="AQ71" s="397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97"/>
      <c r="BD71" s="397"/>
      <c r="BE71" s="397"/>
      <c r="BF71" s="397"/>
      <c r="BG71" s="397"/>
      <c r="BH71" s="397"/>
      <c r="BI71" s="397"/>
      <c r="BJ71" s="397"/>
      <c r="BK71" s="397"/>
      <c r="BL71" s="397"/>
      <c r="BM71" s="397"/>
      <c r="BN71" s="397"/>
    </row>
    <row r="72" spans="1:66" ht="14.25">
      <c r="A72" s="68">
        <v>2002</v>
      </c>
      <c r="B72" s="253"/>
      <c r="C72" s="69">
        <v>47</v>
      </c>
      <c r="D72" s="69"/>
      <c r="E72" s="457">
        <v>39100</v>
      </c>
      <c r="F72" s="457">
        <v>39100</v>
      </c>
      <c r="G72" s="477">
        <v>1</v>
      </c>
      <c r="H72" s="478"/>
      <c r="I72" s="466"/>
      <c r="J72" s="605">
        <v>1</v>
      </c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</row>
    <row r="73" spans="1:66" ht="14.25">
      <c r="A73" s="68">
        <v>2003</v>
      </c>
      <c r="B73" s="253"/>
      <c r="C73" s="69">
        <v>48</v>
      </c>
      <c r="D73" s="69"/>
      <c r="E73" s="457">
        <v>39900</v>
      </c>
      <c r="F73" s="457">
        <v>39900</v>
      </c>
      <c r="G73" s="477">
        <v>1</v>
      </c>
      <c r="H73" s="478"/>
      <c r="I73" s="466"/>
      <c r="J73" s="605">
        <v>1</v>
      </c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</row>
    <row r="74" spans="1:66" ht="14.25">
      <c r="A74" s="68">
        <v>2004</v>
      </c>
      <c r="B74" s="253"/>
      <c r="C74" s="69">
        <v>49</v>
      </c>
      <c r="D74" s="69"/>
      <c r="E74" s="457">
        <v>40500</v>
      </c>
      <c r="F74" s="457">
        <v>40500</v>
      </c>
      <c r="G74" s="477">
        <v>1</v>
      </c>
      <c r="H74" s="478"/>
      <c r="I74" s="466"/>
      <c r="J74" s="605">
        <v>1</v>
      </c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</row>
    <row r="75" spans="1:66" ht="14.25">
      <c r="A75" s="68">
        <v>2005</v>
      </c>
      <c r="B75" s="253"/>
      <c r="C75" s="69">
        <v>50</v>
      </c>
      <c r="D75" s="69"/>
      <c r="E75" s="457">
        <v>41100</v>
      </c>
      <c r="F75" s="457">
        <v>41100</v>
      </c>
      <c r="G75" s="477">
        <v>1</v>
      </c>
      <c r="H75" s="478"/>
      <c r="I75" s="466"/>
      <c r="J75" s="605">
        <v>1</v>
      </c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</row>
    <row r="76" spans="1:66" ht="14.25">
      <c r="A76" s="68">
        <v>2006</v>
      </c>
      <c r="B76" s="253"/>
      <c r="C76" s="69">
        <v>51</v>
      </c>
      <c r="D76" s="69"/>
      <c r="E76" s="457">
        <v>42100</v>
      </c>
      <c r="F76" s="457">
        <v>42100</v>
      </c>
      <c r="G76" s="477">
        <v>1</v>
      </c>
      <c r="H76" s="478"/>
      <c r="I76" s="466"/>
      <c r="J76" s="605">
        <v>1</v>
      </c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</row>
    <row r="77" spans="1:66" ht="14.25">
      <c r="A77" s="68">
        <v>2007</v>
      </c>
      <c r="B77" s="253"/>
      <c r="C77" s="69">
        <v>52</v>
      </c>
      <c r="D77" s="69"/>
      <c r="E77" s="457">
        <v>43700</v>
      </c>
      <c r="F77" s="457">
        <v>43700</v>
      </c>
      <c r="G77" s="477">
        <v>1</v>
      </c>
      <c r="H77" s="478"/>
      <c r="I77" s="466"/>
      <c r="J77" s="605">
        <v>1</v>
      </c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</row>
    <row r="78" spans="1:66" ht="14.25">
      <c r="A78" s="68">
        <v>2008</v>
      </c>
      <c r="B78" s="253"/>
      <c r="C78" s="69">
        <v>53</v>
      </c>
      <c r="D78" s="69"/>
      <c r="E78" s="457">
        <v>44700</v>
      </c>
      <c r="F78" s="457">
        <v>44700</v>
      </c>
      <c r="G78" s="477">
        <v>1</v>
      </c>
      <c r="H78" s="478"/>
      <c r="I78" s="466"/>
      <c r="J78" s="604">
        <v>1</v>
      </c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</row>
    <row r="79" spans="1:66" ht="14.25">
      <c r="A79" s="68">
        <v>2009</v>
      </c>
      <c r="B79" s="253"/>
      <c r="C79" s="69">
        <v>54</v>
      </c>
      <c r="D79" s="69"/>
      <c r="E79" s="457">
        <v>45700</v>
      </c>
      <c r="F79" s="457">
        <v>45700</v>
      </c>
      <c r="G79" s="477">
        <v>1</v>
      </c>
      <c r="H79" s="478"/>
      <c r="I79" s="466"/>
      <c r="J79" s="604">
        <v>1</v>
      </c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</row>
    <row r="80" spans="1:66" ht="14.25">
      <c r="A80" s="68">
        <v>2010</v>
      </c>
      <c r="B80" s="253"/>
      <c r="C80" s="69">
        <v>55</v>
      </c>
      <c r="D80" s="69"/>
      <c r="E80" s="457">
        <v>46700</v>
      </c>
      <c r="F80" s="457">
        <v>46700</v>
      </c>
      <c r="G80" s="477">
        <v>1</v>
      </c>
      <c r="H80" s="478"/>
      <c r="I80" s="466"/>
      <c r="J80" s="604">
        <v>1</v>
      </c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</row>
    <row r="81" spans="1:66" ht="14.25">
      <c r="A81" s="68">
        <v>2011</v>
      </c>
      <c r="B81" s="253"/>
      <c r="C81" s="69">
        <v>56</v>
      </c>
      <c r="D81" s="69"/>
      <c r="E81" s="457">
        <v>47700</v>
      </c>
      <c r="F81" s="457">
        <v>47700</v>
      </c>
      <c r="G81" s="477">
        <v>1</v>
      </c>
      <c r="H81" s="478"/>
      <c r="I81" s="466"/>
      <c r="J81" s="604">
        <v>1</v>
      </c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</row>
    <row r="82" spans="1:66" ht="14.25">
      <c r="A82" s="68">
        <v>2012</v>
      </c>
      <c r="B82" s="253"/>
      <c r="C82" s="69">
        <v>57</v>
      </c>
      <c r="D82" s="69"/>
      <c r="E82" s="457">
        <v>48700</v>
      </c>
      <c r="F82" s="457">
        <v>48700</v>
      </c>
      <c r="G82" s="477">
        <v>1</v>
      </c>
      <c r="H82" s="478"/>
      <c r="I82" s="466"/>
      <c r="J82" s="604">
        <v>1</v>
      </c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</row>
    <row r="83" spans="1:66" ht="14.25">
      <c r="A83" s="68">
        <v>2013</v>
      </c>
      <c r="B83" s="253"/>
      <c r="C83" s="69">
        <v>58</v>
      </c>
      <c r="D83" s="69"/>
      <c r="E83" s="457">
        <v>49800</v>
      </c>
      <c r="F83" s="457">
        <v>49800</v>
      </c>
      <c r="G83" s="477">
        <v>1</v>
      </c>
      <c r="H83" s="478"/>
      <c r="I83" s="466"/>
      <c r="J83" s="604">
        <v>1</v>
      </c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</row>
    <row r="84" spans="1:66" ht="14.25">
      <c r="A84" s="68">
        <v>2014</v>
      </c>
      <c r="B84" s="253"/>
      <c r="C84" s="69">
        <v>59</v>
      </c>
      <c r="D84" s="69"/>
      <c r="E84" s="457">
        <v>50900</v>
      </c>
      <c r="F84" s="457">
        <v>50900</v>
      </c>
      <c r="G84" s="477">
        <v>1</v>
      </c>
      <c r="H84" s="478"/>
      <c r="I84" s="466"/>
      <c r="J84" s="604">
        <v>1</v>
      </c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</row>
    <row r="85" spans="1:66" ht="14.25">
      <c r="A85" s="68">
        <v>2015</v>
      </c>
      <c r="B85" s="253"/>
      <c r="C85" s="69">
        <v>60</v>
      </c>
      <c r="D85" s="69"/>
      <c r="E85" s="457">
        <v>52000</v>
      </c>
      <c r="F85" s="457">
        <v>52000</v>
      </c>
      <c r="G85" s="477">
        <v>1</v>
      </c>
      <c r="H85" s="478"/>
      <c r="I85" s="466"/>
      <c r="J85" s="604">
        <v>1</v>
      </c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</row>
    <row r="86" spans="1:66" ht="14.25">
      <c r="A86" s="68">
        <v>2016</v>
      </c>
      <c r="B86" s="253"/>
      <c r="C86" s="69">
        <v>61</v>
      </c>
      <c r="D86" s="69"/>
      <c r="E86" s="457">
        <v>53100</v>
      </c>
      <c r="F86" s="457">
        <v>53100</v>
      </c>
      <c r="G86" s="477">
        <v>1</v>
      </c>
      <c r="H86" s="478"/>
      <c r="I86" s="466"/>
      <c r="J86" s="604">
        <v>1</v>
      </c>
      <c r="K86" s="45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</row>
    <row r="87" spans="1:66" ht="15" thickBot="1">
      <c r="A87" s="73">
        <v>2017</v>
      </c>
      <c r="B87" s="83"/>
      <c r="C87" s="74">
        <v>62</v>
      </c>
      <c r="D87" s="74"/>
      <c r="E87" s="462">
        <v>54300</v>
      </c>
      <c r="F87" s="462">
        <v>54300</v>
      </c>
      <c r="G87" s="473">
        <v>1</v>
      </c>
      <c r="H87" s="474"/>
      <c r="I87" s="475"/>
      <c r="J87" s="606">
        <v>1</v>
      </c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</row>
    <row r="88" spans="1:66" ht="14.25">
      <c r="A88" s="68">
        <v>2018</v>
      </c>
      <c r="B88" s="253"/>
      <c r="C88" s="69">
        <v>63</v>
      </c>
      <c r="D88" s="69"/>
      <c r="E88" s="457">
        <v>55500</v>
      </c>
      <c r="F88" s="457"/>
      <c r="G88" s="477">
        <v>0</v>
      </c>
      <c r="H88" s="478"/>
      <c r="I88" s="607"/>
      <c r="J88" s="604">
        <v>0</v>
      </c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</row>
    <row r="89" spans="1:66" ht="14.25">
      <c r="A89" s="68">
        <v>2019</v>
      </c>
      <c r="B89" s="253"/>
      <c r="C89" s="69">
        <v>64</v>
      </c>
      <c r="D89" s="69"/>
      <c r="E89" s="457">
        <v>56700</v>
      </c>
      <c r="F89" s="457"/>
      <c r="G89" s="477">
        <v>0</v>
      </c>
      <c r="H89" s="478"/>
      <c r="I89" s="466"/>
      <c r="J89" s="604">
        <v>0</v>
      </c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</row>
    <row r="90" spans="1:66" ht="14.25">
      <c r="A90" s="68"/>
      <c r="B90" s="253"/>
      <c r="C90" s="69"/>
      <c r="D90" s="69"/>
      <c r="E90" s="457"/>
      <c r="F90" s="457"/>
      <c r="G90" s="457"/>
      <c r="H90" s="478"/>
      <c r="I90" s="466"/>
      <c r="J90" s="458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</row>
    <row r="91" spans="1:66" ht="15" thickBot="1">
      <c r="A91" s="73"/>
      <c r="B91" s="83"/>
      <c r="C91" s="74"/>
      <c r="D91" s="74"/>
      <c r="E91" s="462">
        <v>1545600</v>
      </c>
      <c r="F91" s="462">
        <v>1260417</v>
      </c>
      <c r="G91" s="608">
        <v>0.8154871894409937</v>
      </c>
      <c r="H91" s="474"/>
      <c r="I91" s="475"/>
      <c r="J91" s="464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</row>
    <row r="92" spans="5:66" ht="14.25"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</row>
    <row r="93" spans="5:66" ht="14.25"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</row>
    <row r="94" spans="5:66" ht="14.25"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</row>
    <row r="95" spans="5:66" ht="14.25"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</row>
    <row r="96" spans="5:66" ht="14.25"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397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</row>
    <row r="97" spans="5:66" ht="14.25"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</row>
    <row r="98" spans="5:66" ht="14.25"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</row>
    <row r="99" spans="5:66" ht="14.25"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</row>
    <row r="100" spans="5:66" ht="14.25"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</row>
    <row r="101" spans="5:66" ht="14.25"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</row>
    <row r="102" spans="5:66" ht="14.25"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  <c r="AK102" s="397"/>
      <c r="AL102" s="397"/>
      <c r="AM102" s="397"/>
      <c r="AN102" s="397"/>
      <c r="AO102" s="397"/>
      <c r="AP102" s="397"/>
      <c r="AQ102" s="397"/>
      <c r="AR102" s="397"/>
      <c r="AS102" s="397"/>
      <c r="AT102" s="397"/>
      <c r="AU102" s="397"/>
      <c r="AV102" s="397"/>
      <c r="AW102" s="397"/>
      <c r="AX102" s="397"/>
      <c r="AY102" s="397"/>
      <c r="AZ102" s="397"/>
      <c r="BA102" s="397"/>
      <c r="BB102" s="397"/>
      <c r="BC102" s="397"/>
      <c r="BD102" s="397"/>
      <c r="BE102" s="397"/>
      <c r="BF102" s="397"/>
      <c r="BG102" s="397"/>
      <c r="BH102" s="397"/>
      <c r="BI102" s="397"/>
      <c r="BJ102" s="397"/>
      <c r="BK102" s="397"/>
      <c r="BL102" s="397"/>
      <c r="BM102" s="397"/>
      <c r="BN102" s="397"/>
    </row>
    <row r="103" spans="5:66" ht="14.25"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</row>
    <row r="104" spans="5:66" ht="14.25"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397"/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7"/>
      <c r="BM104" s="397"/>
      <c r="BN104" s="397"/>
    </row>
    <row r="105" spans="5:66" ht="14.25"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</row>
    <row r="106" spans="5:66" ht="14.25"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7"/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</row>
    <row r="107" spans="5:66" ht="14.2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7"/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</row>
    <row r="108" spans="5:66" ht="14.2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  <c r="AK108" s="397"/>
      <c r="AL108" s="397"/>
      <c r="AM108" s="397"/>
      <c r="AN108" s="397"/>
      <c r="AO108" s="397"/>
      <c r="AP108" s="397"/>
      <c r="AQ108" s="397"/>
      <c r="AR108" s="397"/>
      <c r="AS108" s="397"/>
      <c r="AT108" s="397"/>
      <c r="AU108" s="397"/>
      <c r="AV108" s="397"/>
      <c r="AW108" s="397"/>
      <c r="AX108" s="397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</row>
    <row r="109" spans="5:66" ht="14.2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  <c r="AK109" s="397"/>
      <c r="AL109" s="397"/>
      <c r="AM109" s="397"/>
      <c r="AN109" s="397"/>
      <c r="AO109" s="397"/>
      <c r="AP109" s="397"/>
      <c r="AQ109" s="397"/>
      <c r="AR109" s="397"/>
      <c r="AS109" s="397"/>
      <c r="AT109" s="397"/>
      <c r="AU109" s="397"/>
      <c r="AV109" s="397"/>
      <c r="AW109" s="397"/>
      <c r="AX109" s="397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</row>
    <row r="110" spans="5:66" ht="14.2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</row>
    <row r="111" spans="5:66" ht="14.25"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397"/>
      <c r="AL111" s="397"/>
      <c r="AM111" s="397"/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</row>
    <row r="112" spans="5:66" ht="14.25"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97"/>
      <c r="AT112" s="397"/>
      <c r="AU112" s="397"/>
      <c r="AV112" s="397"/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</row>
    <row r="113" spans="5:66" ht="14.25"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  <c r="AK113" s="397"/>
      <c r="AL113" s="397"/>
      <c r="AM113" s="397"/>
      <c r="AN113" s="397"/>
      <c r="AO113" s="397"/>
      <c r="AP113" s="397"/>
      <c r="AQ113" s="397"/>
      <c r="AR113" s="397"/>
      <c r="AS113" s="397"/>
      <c r="AT113" s="397"/>
      <c r="AU113" s="397"/>
      <c r="AV113" s="397"/>
      <c r="AW113" s="397"/>
      <c r="AX113" s="397"/>
      <c r="AY113" s="397"/>
      <c r="AZ113" s="397"/>
      <c r="BA113" s="397"/>
      <c r="BB113" s="397"/>
      <c r="BC113" s="397"/>
      <c r="BD113" s="397"/>
      <c r="BE113" s="397"/>
      <c r="BF113" s="397"/>
      <c r="BG113" s="397"/>
      <c r="BH113" s="397"/>
      <c r="BI113" s="397"/>
      <c r="BJ113" s="397"/>
      <c r="BK113" s="397"/>
      <c r="BL113" s="397"/>
      <c r="BM113" s="397"/>
      <c r="BN113" s="397"/>
    </row>
    <row r="114" spans="5:66" ht="14.25"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7"/>
      <c r="AL114" s="397"/>
      <c r="AM114" s="397"/>
      <c r="AN114" s="397"/>
      <c r="AO114" s="397"/>
      <c r="AP114" s="397"/>
      <c r="AQ114" s="397"/>
      <c r="AR114" s="397"/>
      <c r="AS114" s="397"/>
      <c r="AT114" s="397"/>
      <c r="AU114" s="397"/>
      <c r="AV114" s="397"/>
      <c r="AW114" s="397"/>
      <c r="AX114" s="397"/>
      <c r="AY114" s="397"/>
      <c r="AZ114" s="397"/>
      <c r="BA114" s="397"/>
      <c r="BB114" s="397"/>
      <c r="BC114" s="397"/>
      <c r="BD114" s="397"/>
      <c r="BE114" s="397"/>
      <c r="BF114" s="397"/>
      <c r="BG114" s="397"/>
      <c r="BH114" s="397"/>
      <c r="BI114" s="397"/>
      <c r="BJ114" s="397"/>
      <c r="BK114" s="397"/>
      <c r="BL114" s="397"/>
      <c r="BM114" s="397"/>
      <c r="BN114" s="397"/>
    </row>
    <row r="115" spans="5:66" ht="14.25"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97"/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  <c r="AK115" s="397"/>
      <c r="AL115" s="397"/>
      <c r="AM115" s="397"/>
      <c r="AN115" s="397"/>
      <c r="AO115" s="397"/>
      <c r="AP115" s="397"/>
      <c r="AQ115" s="397"/>
      <c r="AR115" s="397"/>
      <c r="AS115" s="397"/>
      <c r="AT115" s="397"/>
      <c r="AU115" s="397"/>
      <c r="AV115" s="397"/>
      <c r="AW115" s="397"/>
      <c r="AX115" s="397"/>
      <c r="AY115" s="397"/>
      <c r="AZ115" s="397"/>
      <c r="BA115" s="397"/>
      <c r="BB115" s="397"/>
      <c r="BC115" s="397"/>
      <c r="BD115" s="397"/>
      <c r="BE115" s="397"/>
      <c r="BF115" s="397"/>
      <c r="BG115" s="397"/>
      <c r="BH115" s="397"/>
      <c r="BI115" s="397"/>
      <c r="BJ115" s="397"/>
      <c r="BK115" s="397"/>
      <c r="BL115" s="397"/>
      <c r="BM115" s="397"/>
      <c r="BN115" s="397"/>
    </row>
    <row r="116" spans="5:66" ht="14.25"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397"/>
      <c r="AL116" s="397"/>
      <c r="AM116" s="397"/>
      <c r="AN116" s="397"/>
      <c r="AO116" s="397"/>
      <c r="AP116" s="397"/>
      <c r="AQ116" s="397"/>
      <c r="AR116" s="397"/>
      <c r="AS116" s="397"/>
      <c r="AT116" s="397"/>
      <c r="AU116" s="397"/>
      <c r="AV116" s="397"/>
      <c r="AW116" s="397"/>
      <c r="AX116" s="397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</row>
    <row r="117" spans="5:66" ht="14.25"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</row>
    <row r="118" spans="5:66" ht="14.25"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  <c r="AK118" s="397"/>
      <c r="AL118" s="397"/>
      <c r="AM118" s="397"/>
      <c r="AN118" s="397"/>
      <c r="AO118" s="397"/>
      <c r="AP118" s="397"/>
      <c r="AQ118" s="397"/>
      <c r="AR118" s="397"/>
      <c r="AS118" s="397"/>
      <c r="AT118" s="397"/>
      <c r="AU118" s="397"/>
      <c r="AV118" s="397"/>
      <c r="AW118" s="397"/>
      <c r="AX118" s="397"/>
      <c r="AY118" s="397"/>
      <c r="AZ118" s="397"/>
      <c r="BA118" s="397"/>
      <c r="BB118" s="397"/>
      <c r="BC118" s="397"/>
      <c r="BD118" s="397"/>
      <c r="BE118" s="397"/>
      <c r="BF118" s="397"/>
      <c r="BG118" s="397"/>
      <c r="BH118" s="397"/>
      <c r="BI118" s="397"/>
      <c r="BJ118" s="397"/>
      <c r="BK118" s="397"/>
      <c r="BL118" s="397"/>
      <c r="BM118" s="397"/>
      <c r="BN118" s="397"/>
    </row>
    <row r="119" spans="5:66" ht="14.25"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397"/>
      <c r="AL119" s="397"/>
      <c r="AM119" s="397"/>
      <c r="AN119" s="397"/>
      <c r="AO119" s="397"/>
      <c r="AP119" s="397"/>
      <c r="AQ119" s="397"/>
      <c r="AR119" s="397"/>
      <c r="AS119" s="397"/>
      <c r="AT119" s="397"/>
      <c r="AU119" s="397"/>
      <c r="AV119" s="397"/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</row>
    <row r="120" spans="5:66" ht="14.25"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  <c r="AK120" s="397"/>
      <c r="AL120" s="397"/>
      <c r="AM120" s="397"/>
      <c r="AN120" s="397"/>
      <c r="AO120" s="397"/>
      <c r="AP120" s="397"/>
      <c r="AQ120" s="397"/>
      <c r="AR120" s="397"/>
      <c r="AS120" s="397"/>
      <c r="AT120" s="397"/>
      <c r="AU120" s="397"/>
      <c r="AV120" s="397"/>
      <c r="AW120" s="397"/>
      <c r="AX120" s="397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7"/>
      <c r="BL120" s="397"/>
      <c r="BM120" s="397"/>
      <c r="BN120" s="397"/>
    </row>
    <row r="121" spans="5:66" ht="14.25"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7"/>
      <c r="BL121" s="397"/>
      <c r="BM121" s="397"/>
      <c r="BN121" s="397"/>
    </row>
    <row r="122" spans="5:66" ht="14.25"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  <c r="AO122" s="397"/>
      <c r="AP122" s="397"/>
      <c r="AQ122" s="397"/>
      <c r="AR122" s="397"/>
      <c r="AS122" s="397"/>
      <c r="AT122" s="397"/>
      <c r="AU122" s="397"/>
      <c r="AV122" s="397"/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</row>
    <row r="123" spans="5:66" ht="14.25">
      <c r="E123" s="397"/>
      <c r="F123" s="397"/>
      <c r="G123" s="397"/>
      <c r="H123" s="397"/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</row>
    <row r="124" spans="5:66" ht="14.25"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  <c r="AJ124" s="397"/>
      <c r="AK124" s="397"/>
      <c r="AL124" s="397"/>
      <c r="AM124" s="397"/>
      <c r="AN124" s="397"/>
      <c r="AO124" s="397"/>
      <c r="AP124" s="397"/>
      <c r="AQ124" s="397"/>
      <c r="AR124" s="397"/>
      <c r="AS124" s="397"/>
      <c r="AT124" s="397"/>
      <c r="AU124" s="397"/>
      <c r="AV124" s="397"/>
      <c r="AW124" s="397"/>
      <c r="AX124" s="397"/>
      <c r="AY124" s="397"/>
      <c r="AZ124" s="397"/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</row>
    <row r="125" spans="5:66" ht="14.25"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  <c r="AJ125" s="397"/>
      <c r="AK125" s="397"/>
      <c r="AL125" s="397"/>
      <c r="AM125" s="397"/>
      <c r="AN125" s="397"/>
      <c r="AO125" s="397"/>
      <c r="AP125" s="397"/>
      <c r="AQ125" s="397"/>
      <c r="AR125" s="397"/>
      <c r="AS125" s="397"/>
      <c r="AT125" s="397"/>
      <c r="AU125" s="397"/>
      <c r="AV125" s="397"/>
      <c r="AW125" s="397"/>
      <c r="AX125" s="397"/>
      <c r="AY125" s="397"/>
      <c r="AZ125" s="397"/>
      <c r="BA125" s="397"/>
      <c r="BB125" s="397"/>
      <c r="BC125" s="397"/>
      <c r="BD125" s="397"/>
      <c r="BE125" s="397"/>
      <c r="BF125" s="397"/>
      <c r="BG125" s="397"/>
      <c r="BH125" s="397"/>
      <c r="BI125" s="397"/>
      <c r="BJ125" s="397"/>
      <c r="BK125" s="397"/>
      <c r="BL125" s="397"/>
      <c r="BM125" s="397"/>
      <c r="BN125" s="397"/>
    </row>
    <row r="126" spans="5:66" ht="14.25"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97"/>
      <c r="AK126" s="397"/>
      <c r="AL126" s="397"/>
      <c r="AM126" s="397"/>
      <c r="AN126" s="397"/>
      <c r="AO126" s="397"/>
      <c r="AP126" s="397"/>
      <c r="AQ126" s="397"/>
      <c r="AR126" s="397"/>
      <c r="AS126" s="397"/>
      <c r="AT126" s="397"/>
      <c r="AU126" s="397"/>
      <c r="AV126" s="397"/>
      <c r="AW126" s="397"/>
      <c r="AX126" s="397"/>
      <c r="AY126" s="397"/>
      <c r="AZ126" s="397"/>
      <c r="BA126" s="397"/>
      <c r="BB126" s="397"/>
      <c r="BC126" s="397"/>
      <c r="BD126" s="397"/>
      <c r="BE126" s="397"/>
      <c r="BF126" s="397"/>
      <c r="BG126" s="397"/>
      <c r="BH126" s="397"/>
      <c r="BI126" s="397"/>
      <c r="BJ126" s="397"/>
      <c r="BK126" s="397"/>
      <c r="BL126" s="397"/>
      <c r="BM126" s="397"/>
      <c r="BN126" s="397"/>
    </row>
    <row r="127" spans="5:66" ht="14.25">
      <c r="E127" s="397"/>
      <c r="F127" s="397"/>
      <c r="G127" s="397"/>
      <c r="H127" s="397"/>
      <c r="I127" s="397"/>
      <c r="J127" s="397"/>
      <c r="K127" s="397"/>
      <c r="L127" s="397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  <c r="AJ127" s="397"/>
      <c r="AK127" s="397"/>
      <c r="AL127" s="397"/>
      <c r="AM127" s="397"/>
      <c r="AN127" s="397"/>
      <c r="AO127" s="397"/>
      <c r="AP127" s="397"/>
      <c r="AQ127" s="397"/>
      <c r="AR127" s="397"/>
      <c r="AS127" s="397"/>
      <c r="AT127" s="397"/>
      <c r="AU127" s="397"/>
      <c r="AV127" s="397"/>
      <c r="AW127" s="397"/>
      <c r="AX127" s="397"/>
      <c r="AY127" s="397"/>
      <c r="AZ127" s="397"/>
      <c r="BA127" s="397"/>
      <c r="BB127" s="397"/>
      <c r="BC127" s="397"/>
      <c r="BD127" s="397"/>
      <c r="BE127" s="397"/>
      <c r="BF127" s="397"/>
      <c r="BG127" s="397"/>
      <c r="BH127" s="397"/>
      <c r="BI127" s="397"/>
      <c r="BJ127" s="397"/>
      <c r="BK127" s="397"/>
      <c r="BL127" s="397"/>
      <c r="BM127" s="397"/>
      <c r="BN127" s="397"/>
    </row>
    <row r="128" spans="5:66" ht="14.25"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  <c r="AN128" s="397"/>
      <c r="AO128" s="397"/>
      <c r="AP128" s="397"/>
      <c r="AQ128" s="397"/>
      <c r="AR128" s="397"/>
      <c r="AS128" s="397"/>
      <c r="AT128" s="397"/>
      <c r="AU128" s="397"/>
      <c r="AV128" s="397"/>
      <c r="AW128" s="397"/>
      <c r="AX128" s="397"/>
      <c r="AY128" s="397"/>
      <c r="AZ128" s="397"/>
      <c r="BA128" s="397"/>
      <c r="BB128" s="397"/>
      <c r="BC128" s="397"/>
      <c r="BD128" s="397"/>
      <c r="BE128" s="397"/>
      <c r="BF128" s="397"/>
      <c r="BG128" s="397"/>
      <c r="BH128" s="397"/>
      <c r="BI128" s="397"/>
      <c r="BJ128" s="397"/>
      <c r="BK128" s="397"/>
      <c r="BL128" s="397"/>
      <c r="BM128" s="397"/>
      <c r="BN128" s="397"/>
    </row>
    <row r="129" spans="5:66" ht="14.25"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  <c r="AN129" s="397"/>
      <c r="AO129" s="397"/>
      <c r="AP129" s="397"/>
      <c r="AQ129" s="397"/>
      <c r="AR129" s="397"/>
      <c r="AS129" s="397"/>
      <c r="AT129" s="397"/>
      <c r="AU129" s="397"/>
      <c r="AV129" s="397"/>
      <c r="AW129" s="397"/>
      <c r="AX129" s="397"/>
      <c r="AY129" s="397"/>
      <c r="AZ129" s="397"/>
      <c r="BA129" s="397"/>
      <c r="BB129" s="397"/>
      <c r="BC129" s="397"/>
      <c r="BD129" s="397"/>
      <c r="BE129" s="397"/>
      <c r="BF129" s="397"/>
      <c r="BG129" s="397"/>
      <c r="BH129" s="397"/>
      <c r="BI129" s="397"/>
      <c r="BJ129" s="397"/>
      <c r="BK129" s="397"/>
      <c r="BL129" s="397"/>
      <c r="BM129" s="397"/>
      <c r="BN129" s="397"/>
    </row>
    <row r="130" spans="5:66" ht="14.25"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397"/>
      <c r="AR130" s="397"/>
      <c r="AS130" s="397"/>
      <c r="AT130" s="397"/>
      <c r="AU130" s="397"/>
      <c r="AV130" s="397"/>
      <c r="AW130" s="397"/>
      <c r="AX130" s="397"/>
      <c r="AY130" s="397"/>
      <c r="AZ130" s="397"/>
      <c r="BA130" s="397"/>
      <c r="BB130" s="397"/>
      <c r="BC130" s="397"/>
      <c r="BD130" s="397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</row>
    <row r="131" spans="5:66" ht="14.25"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  <c r="AJ131" s="397"/>
      <c r="AK131" s="397"/>
      <c r="AL131" s="397"/>
      <c r="AM131" s="397"/>
      <c r="AN131" s="397"/>
      <c r="AO131" s="397"/>
      <c r="AP131" s="397"/>
      <c r="AQ131" s="397"/>
      <c r="AR131" s="397"/>
      <c r="AS131" s="397"/>
      <c r="AT131" s="397"/>
      <c r="AU131" s="397"/>
      <c r="AV131" s="397"/>
      <c r="AW131" s="397"/>
      <c r="AX131" s="397"/>
      <c r="AY131" s="397"/>
      <c r="AZ131" s="397"/>
      <c r="BA131" s="397"/>
      <c r="BB131" s="397"/>
      <c r="BC131" s="397"/>
      <c r="BD131" s="397"/>
      <c r="BE131" s="397"/>
      <c r="BF131" s="397"/>
      <c r="BG131" s="397"/>
      <c r="BH131" s="397"/>
      <c r="BI131" s="397"/>
      <c r="BJ131" s="397"/>
      <c r="BK131" s="397"/>
      <c r="BL131" s="397"/>
      <c r="BM131" s="397"/>
      <c r="BN131" s="397"/>
    </row>
    <row r="132" spans="5:66" ht="14.25"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397"/>
      <c r="AR132" s="397"/>
      <c r="AS132" s="397"/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397"/>
      <c r="BD132" s="397"/>
      <c r="BE132" s="397"/>
      <c r="BF132" s="397"/>
      <c r="BG132" s="397"/>
      <c r="BH132" s="397"/>
      <c r="BI132" s="397"/>
      <c r="BJ132" s="397"/>
      <c r="BK132" s="397"/>
      <c r="BL132" s="397"/>
      <c r="BM132" s="397"/>
      <c r="BN132" s="397"/>
    </row>
    <row r="133" spans="5:66" ht="14.25">
      <c r="E133" s="397"/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397"/>
      <c r="AP133" s="397"/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7"/>
      <c r="BF133" s="397"/>
      <c r="BG133" s="397"/>
      <c r="BH133" s="397"/>
      <c r="BI133" s="397"/>
      <c r="BJ133" s="397"/>
      <c r="BK133" s="397"/>
      <c r="BL133" s="397"/>
      <c r="BM133" s="397"/>
      <c r="BN133" s="397"/>
    </row>
    <row r="134" spans="5:66" ht="14.25">
      <c r="E134" s="397"/>
      <c r="F134" s="397"/>
      <c r="G134" s="397"/>
      <c r="H134" s="397"/>
      <c r="I134" s="397"/>
      <c r="J134" s="397"/>
      <c r="K134" s="397"/>
      <c r="L134" s="397"/>
      <c r="M134" s="397"/>
      <c r="N134" s="397"/>
      <c r="O134" s="397"/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  <c r="AJ134" s="397"/>
      <c r="AK134" s="397"/>
      <c r="AL134" s="397"/>
      <c r="AM134" s="397"/>
      <c r="AN134" s="397"/>
      <c r="AO134" s="397"/>
      <c r="AP134" s="397"/>
      <c r="AQ134" s="397"/>
      <c r="AR134" s="397"/>
      <c r="AS134" s="397"/>
      <c r="AT134" s="397"/>
      <c r="AU134" s="397"/>
      <c r="AV134" s="397"/>
      <c r="AW134" s="397"/>
      <c r="AX134" s="397"/>
      <c r="AY134" s="397"/>
      <c r="AZ134" s="397"/>
      <c r="BA134" s="397"/>
      <c r="BB134" s="397"/>
      <c r="BC134" s="397"/>
      <c r="BD134" s="397"/>
      <c r="BE134" s="397"/>
      <c r="BF134" s="397"/>
      <c r="BG134" s="397"/>
      <c r="BH134" s="397"/>
      <c r="BI134" s="397"/>
      <c r="BJ134" s="397"/>
      <c r="BK134" s="397"/>
      <c r="BL134" s="397"/>
      <c r="BM134" s="397"/>
      <c r="BN134" s="397"/>
    </row>
    <row r="135" spans="5:66" ht="14.25"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</row>
    <row r="136" spans="5:66" ht="14.25">
      <c r="E136" s="397"/>
      <c r="F136" s="397"/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97"/>
      <c r="AK136" s="397"/>
      <c r="AL136" s="397"/>
      <c r="AM136" s="397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7"/>
      <c r="BF136" s="397"/>
      <c r="BG136" s="397"/>
      <c r="BH136" s="397"/>
      <c r="BI136" s="397"/>
      <c r="BJ136" s="397"/>
      <c r="BK136" s="397"/>
      <c r="BL136" s="397"/>
      <c r="BM136" s="397"/>
      <c r="BN136" s="397"/>
    </row>
    <row r="137" spans="5:66" ht="14.25"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</row>
    <row r="138" spans="5:66" ht="14.25">
      <c r="E138" s="397"/>
      <c r="F138" s="397"/>
      <c r="G138" s="397"/>
      <c r="H138" s="397"/>
      <c r="I138" s="397"/>
      <c r="J138" s="397"/>
      <c r="K138" s="397"/>
      <c r="L138" s="397"/>
      <c r="M138" s="397"/>
      <c r="N138" s="397"/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397"/>
      <c r="AI138" s="397"/>
      <c r="AJ138" s="397"/>
      <c r="AK138" s="397"/>
      <c r="AL138" s="397"/>
      <c r="AM138" s="397"/>
      <c r="AN138" s="397"/>
      <c r="AO138" s="397"/>
      <c r="AP138" s="397"/>
      <c r="AQ138" s="397"/>
      <c r="AR138" s="397"/>
      <c r="AS138" s="397"/>
      <c r="AT138" s="397"/>
      <c r="AU138" s="397"/>
      <c r="AV138" s="397"/>
      <c r="AW138" s="397"/>
      <c r="AX138" s="397"/>
      <c r="AY138" s="397"/>
      <c r="AZ138" s="397"/>
      <c r="BA138" s="397"/>
      <c r="BB138" s="397"/>
      <c r="BC138" s="397"/>
      <c r="BD138" s="397"/>
      <c r="BE138" s="397"/>
      <c r="BF138" s="397"/>
      <c r="BG138" s="397"/>
      <c r="BH138" s="397"/>
      <c r="BI138" s="397"/>
      <c r="BJ138" s="397"/>
      <c r="BK138" s="397"/>
      <c r="BL138" s="397"/>
      <c r="BM138" s="397"/>
      <c r="BN138" s="397"/>
    </row>
    <row r="139" spans="5:66" ht="14.25">
      <c r="E139" s="397"/>
      <c r="F139" s="397"/>
      <c r="G139" s="397"/>
      <c r="H139" s="397"/>
      <c r="I139" s="397"/>
      <c r="J139" s="397"/>
      <c r="K139" s="397"/>
      <c r="L139" s="397"/>
      <c r="M139" s="397"/>
      <c r="N139" s="397"/>
      <c r="O139" s="397"/>
      <c r="P139" s="397"/>
      <c r="Q139" s="397"/>
      <c r="R139" s="397"/>
      <c r="S139" s="397"/>
      <c r="T139" s="397"/>
      <c r="U139" s="397"/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397"/>
      <c r="AF139" s="397"/>
      <c r="AG139" s="397"/>
      <c r="AH139" s="397"/>
      <c r="AI139" s="397"/>
      <c r="AJ139" s="397"/>
      <c r="AK139" s="397"/>
      <c r="AL139" s="397"/>
      <c r="AM139" s="397"/>
      <c r="AN139" s="397"/>
      <c r="AO139" s="397"/>
      <c r="AP139" s="397"/>
      <c r="AQ139" s="397"/>
      <c r="AR139" s="397"/>
      <c r="AS139" s="397"/>
      <c r="AT139" s="397"/>
      <c r="AU139" s="397"/>
      <c r="AV139" s="397"/>
      <c r="AW139" s="397"/>
      <c r="AX139" s="397"/>
      <c r="AY139" s="397"/>
      <c r="AZ139" s="397"/>
      <c r="BA139" s="397"/>
      <c r="BB139" s="397"/>
      <c r="BC139" s="397"/>
      <c r="BD139" s="397"/>
      <c r="BE139" s="397"/>
      <c r="BF139" s="397"/>
      <c r="BG139" s="397"/>
      <c r="BH139" s="397"/>
      <c r="BI139" s="397"/>
      <c r="BJ139" s="397"/>
      <c r="BK139" s="397"/>
      <c r="BL139" s="397"/>
      <c r="BM139" s="397"/>
      <c r="BN139" s="397"/>
    </row>
    <row r="140" spans="5:66" ht="14.25"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97"/>
      <c r="AI140" s="397"/>
      <c r="AJ140" s="397"/>
      <c r="AK140" s="397"/>
      <c r="AL140" s="397"/>
      <c r="AM140" s="397"/>
      <c r="AN140" s="397"/>
      <c r="AO140" s="397"/>
      <c r="AP140" s="397"/>
      <c r="AQ140" s="397"/>
      <c r="AR140" s="397"/>
      <c r="AS140" s="397"/>
      <c r="AT140" s="397"/>
      <c r="AU140" s="397"/>
      <c r="AV140" s="397"/>
      <c r="AW140" s="397"/>
      <c r="AX140" s="397"/>
      <c r="AY140" s="397"/>
      <c r="AZ140" s="397"/>
      <c r="BA140" s="397"/>
      <c r="BB140" s="397"/>
      <c r="BC140" s="397"/>
      <c r="BD140" s="397"/>
      <c r="BE140" s="397"/>
      <c r="BF140" s="397"/>
      <c r="BG140" s="397"/>
      <c r="BH140" s="397"/>
      <c r="BI140" s="397"/>
      <c r="BJ140" s="397"/>
      <c r="BK140" s="397"/>
      <c r="BL140" s="397"/>
      <c r="BM140" s="397"/>
      <c r="BN140" s="397"/>
    </row>
    <row r="141" spans="5:66" ht="14.25">
      <c r="E141" s="397"/>
      <c r="F141" s="397"/>
      <c r="G141" s="397"/>
      <c r="H141" s="397"/>
      <c r="I141" s="397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7"/>
      <c r="AF141" s="397"/>
      <c r="AG141" s="397"/>
      <c r="AH141" s="397"/>
      <c r="AI141" s="397"/>
      <c r="AJ141" s="397"/>
      <c r="AK141" s="397"/>
      <c r="AL141" s="397"/>
      <c r="AM141" s="397"/>
      <c r="AN141" s="397"/>
      <c r="AO141" s="397"/>
      <c r="AP141" s="397"/>
      <c r="AQ141" s="397"/>
      <c r="AR141" s="397"/>
      <c r="AS141" s="397"/>
      <c r="AT141" s="397"/>
      <c r="AU141" s="397"/>
      <c r="AV141" s="397"/>
      <c r="AW141" s="397"/>
      <c r="AX141" s="397"/>
      <c r="AY141" s="397"/>
      <c r="AZ141" s="397"/>
      <c r="BA141" s="397"/>
      <c r="BB141" s="397"/>
      <c r="BC141" s="397"/>
      <c r="BD141" s="397"/>
      <c r="BE141" s="397"/>
      <c r="BF141" s="397"/>
      <c r="BG141" s="397"/>
      <c r="BH141" s="397"/>
      <c r="BI141" s="397"/>
      <c r="BJ141" s="397"/>
      <c r="BK141" s="397"/>
      <c r="BL141" s="397"/>
      <c r="BM141" s="397"/>
      <c r="BN141" s="397"/>
    </row>
    <row r="142" spans="5:66" ht="14.25">
      <c r="E142" s="397"/>
      <c r="F142" s="397"/>
      <c r="G142" s="397"/>
      <c r="H142" s="397"/>
      <c r="I142" s="397"/>
      <c r="J142" s="397"/>
      <c r="K142" s="397"/>
      <c r="L142" s="397"/>
      <c r="M142" s="397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397"/>
      <c r="AI142" s="397"/>
      <c r="AJ142" s="397"/>
      <c r="AK142" s="397"/>
      <c r="AL142" s="397"/>
      <c r="AM142" s="397"/>
      <c r="AN142" s="397"/>
      <c r="AO142" s="397"/>
      <c r="AP142" s="397"/>
      <c r="AQ142" s="397"/>
      <c r="AR142" s="397"/>
      <c r="AS142" s="397"/>
      <c r="AT142" s="397"/>
      <c r="AU142" s="397"/>
      <c r="AV142" s="397"/>
      <c r="AW142" s="397"/>
      <c r="AX142" s="397"/>
      <c r="AY142" s="397"/>
      <c r="AZ142" s="397"/>
      <c r="BA142" s="397"/>
      <c r="BB142" s="397"/>
      <c r="BC142" s="397"/>
      <c r="BD142" s="397"/>
      <c r="BE142" s="397"/>
      <c r="BF142" s="397"/>
      <c r="BG142" s="397"/>
      <c r="BH142" s="397"/>
      <c r="BI142" s="397"/>
      <c r="BJ142" s="397"/>
      <c r="BK142" s="397"/>
      <c r="BL142" s="397"/>
      <c r="BM142" s="397"/>
      <c r="BN142" s="397"/>
    </row>
    <row r="143" spans="5:66" ht="14.25">
      <c r="E143" s="397"/>
      <c r="F143" s="397"/>
      <c r="G143" s="397"/>
      <c r="H143" s="397"/>
      <c r="I143" s="397"/>
      <c r="J143" s="397"/>
      <c r="K143" s="397"/>
      <c r="L143" s="397"/>
      <c r="M143" s="397"/>
      <c r="N143" s="397"/>
      <c r="O143" s="397"/>
      <c r="P143" s="397"/>
      <c r="Q143" s="397"/>
      <c r="R143" s="397"/>
      <c r="S143" s="397"/>
      <c r="T143" s="397"/>
      <c r="U143" s="397"/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397"/>
      <c r="AI143" s="397"/>
      <c r="AJ143" s="397"/>
      <c r="AK143" s="397"/>
      <c r="AL143" s="397"/>
      <c r="AM143" s="397"/>
      <c r="AN143" s="397"/>
      <c r="AO143" s="397"/>
      <c r="AP143" s="397"/>
      <c r="AQ143" s="397"/>
      <c r="AR143" s="397"/>
      <c r="AS143" s="397"/>
      <c r="AT143" s="397"/>
      <c r="AU143" s="397"/>
      <c r="AV143" s="397"/>
      <c r="AW143" s="397"/>
      <c r="AX143" s="397"/>
      <c r="AY143" s="397"/>
      <c r="AZ143" s="397"/>
      <c r="BA143" s="397"/>
      <c r="BB143" s="397"/>
      <c r="BC143" s="397"/>
      <c r="BD143" s="397"/>
      <c r="BE143" s="397"/>
      <c r="BF143" s="397"/>
      <c r="BG143" s="397"/>
      <c r="BH143" s="397"/>
      <c r="BI143" s="397"/>
      <c r="BJ143" s="397"/>
      <c r="BK143" s="397"/>
      <c r="BL143" s="397"/>
      <c r="BM143" s="397"/>
      <c r="BN143" s="397"/>
    </row>
    <row r="144" spans="5:66" ht="14.25">
      <c r="E144" s="397"/>
      <c r="F144" s="397"/>
      <c r="G144" s="397"/>
      <c r="H144" s="397"/>
      <c r="I144" s="397"/>
      <c r="J144" s="397"/>
      <c r="K144" s="397"/>
      <c r="L144" s="397"/>
      <c r="M144" s="397"/>
      <c r="N144" s="397"/>
      <c r="O144" s="397"/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7"/>
      <c r="AD144" s="397"/>
      <c r="AE144" s="397"/>
      <c r="AF144" s="397"/>
      <c r="AG144" s="397"/>
      <c r="AH144" s="397"/>
      <c r="AI144" s="397"/>
      <c r="AJ144" s="397"/>
      <c r="AK144" s="397"/>
      <c r="AL144" s="397"/>
      <c r="AM144" s="397"/>
      <c r="AN144" s="397"/>
      <c r="AO144" s="397"/>
      <c r="AP144" s="397"/>
      <c r="AQ144" s="397"/>
      <c r="AR144" s="397"/>
      <c r="AS144" s="397"/>
      <c r="AT144" s="397"/>
      <c r="AU144" s="397"/>
      <c r="AV144" s="397"/>
      <c r="AW144" s="397"/>
      <c r="AX144" s="397"/>
      <c r="AY144" s="397"/>
      <c r="AZ144" s="397"/>
      <c r="BA144" s="397"/>
      <c r="BB144" s="397"/>
      <c r="BC144" s="397"/>
      <c r="BD144" s="397"/>
      <c r="BE144" s="397"/>
      <c r="BF144" s="397"/>
      <c r="BG144" s="397"/>
      <c r="BH144" s="397"/>
      <c r="BI144" s="397"/>
      <c r="BJ144" s="397"/>
      <c r="BK144" s="397"/>
      <c r="BL144" s="397"/>
      <c r="BM144" s="397"/>
      <c r="BN144" s="397"/>
    </row>
    <row r="145" spans="5:66" ht="14.25"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7"/>
      <c r="AJ145" s="397"/>
      <c r="AK145" s="397"/>
      <c r="AL145" s="397"/>
      <c r="AM145" s="397"/>
      <c r="AN145" s="397"/>
      <c r="AO145" s="397"/>
      <c r="AP145" s="397"/>
      <c r="AQ145" s="397"/>
      <c r="AR145" s="397"/>
      <c r="AS145" s="397"/>
      <c r="AT145" s="397"/>
      <c r="AU145" s="397"/>
      <c r="AV145" s="397"/>
      <c r="AW145" s="397"/>
      <c r="AX145" s="397"/>
      <c r="AY145" s="397"/>
      <c r="AZ145" s="397"/>
      <c r="BA145" s="397"/>
      <c r="BB145" s="397"/>
      <c r="BC145" s="397"/>
      <c r="BD145" s="397"/>
      <c r="BE145" s="397"/>
      <c r="BF145" s="397"/>
      <c r="BG145" s="397"/>
      <c r="BH145" s="397"/>
      <c r="BI145" s="397"/>
      <c r="BJ145" s="397"/>
      <c r="BK145" s="397"/>
      <c r="BL145" s="397"/>
      <c r="BM145" s="397"/>
      <c r="BN145" s="397"/>
    </row>
    <row r="146" spans="5:66" ht="14.25">
      <c r="E146" s="397"/>
      <c r="F146" s="397"/>
      <c r="G146" s="397"/>
      <c r="H146" s="397"/>
      <c r="I146" s="397"/>
      <c r="J146" s="397"/>
      <c r="K146" s="397"/>
      <c r="L146" s="397"/>
      <c r="M146" s="397"/>
      <c r="N146" s="397"/>
      <c r="O146" s="397"/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7"/>
      <c r="AF146" s="397"/>
      <c r="AG146" s="397"/>
      <c r="AH146" s="397"/>
      <c r="AI146" s="397"/>
      <c r="AJ146" s="397"/>
      <c r="AK146" s="397"/>
      <c r="AL146" s="397"/>
      <c r="AM146" s="397"/>
      <c r="AN146" s="397"/>
      <c r="AO146" s="397"/>
      <c r="AP146" s="397"/>
      <c r="AQ146" s="397"/>
      <c r="AR146" s="397"/>
      <c r="AS146" s="397"/>
      <c r="AT146" s="397"/>
      <c r="AU146" s="397"/>
      <c r="AV146" s="397"/>
      <c r="AW146" s="397"/>
      <c r="AX146" s="397"/>
      <c r="AY146" s="397"/>
      <c r="AZ146" s="397"/>
      <c r="BA146" s="397"/>
      <c r="BB146" s="397"/>
      <c r="BC146" s="397"/>
      <c r="BD146" s="397"/>
      <c r="BE146" s="397"/>
      <c r="BF146" s="397"/>
      <c r="BG146" s="397"/>
      <c r="BH146" s="397"/>
      <c r="BI146" s="397"/>
      <c r="BJ146" s="397"/>
      <c r="BK146" s="397"/>
      <c r="BL146" s="397"/>
      <c r="BM146" s="397"/>
      <c r="BN146" s="397"/>
    </row>
    <row r="147" spans="5:66" ht="14.25">
      <c r="E147" s="397"/>
      <c r="F147" s="397"/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397"/>
      <c r="R147" s="397"/>
      <c r="S147" s="397"/>
      <c r="T147" s="397"/>
      <c r="U147" s="397"/>
      <c r="V147" s="397"/>
      <c r="W147" s="397"/>
      <c r="X147" s="397"/>
      <c r="Y147" s="397"/>
      <c r="Z147" s="397"/>
      <c r="AA147" s="397"/>
      <c r="AB147" s="397"/>
      <c r="AC147" s="397"/>
      <c r="AD147" s="397"/>
      <c r="AE147" s="397"/>
      <c r="AF147" s="397"/>
      <c r="AG147" s="397"/>
      <c r="AH147" s="397"/>
      <c r="AI147" s="397"/>
      <c r="AJ147" s="397"/>
      <c r="AK147" s="397"/>
      <c r="AL147" s="397"/>
      <c r="AM147" s="397"/>
      <c r="AN147" s="397"/>
      <c r="AO147" s="397"/>
      <c r="AP147" s="397"/>
      <c r="AQ147" s="397"/>
      <c r="AR147" s="397"/>
      <c r="AS147" s="397"/>
      <c r="AT147" s="397"/>
      <c r="AU147" s="397"/>
      <c r="AV147" s="397"/>
      <c r="AW147" s="397"/>
      <c r="AX147" s="397"/>
      <c r="AY147" s="397"/>
      <c r="AZ147" s="397"/>
      <c r="BA147" s="397"/>
      <c r="BB147" s="397"/>
      <c r="BC147" s="397"/>
      <c r="BD147" s="397"/>
      <c r="BE147" s="397"/>
      <c r="BF147" s="397"/>
      <c r="BG147" s="397"/>
      <c r="BH147" s="397"/>
      <c r="BI147" s="397"/>
      <c r="BJ147" s="397"/>
      <c r="BK147" s="397"/>
      <c r="BL147" s="397"/>
      <c r="BM147" s="397"/>
      <c r="BN147" s="397"/>
    </row>
    <row r="148" spans="5:66" ht="14.25">
      <c r="E148" s="397"/>
      <c r="F148" s="397"/>
      <c r="G148" s="397"/>
      <c r="H148" s="397"/>
      <c r="I148" s="397"/>
      <c r="J148" s="397"/>
      <c r="K148" s="397"/>
      <c r="L148" s="397"/>
      <c r="M148" s="397"/>
      <c r="N148" s="397"/>
      <c r="O148" s="397"/>
      <c r="P148" s="397"/>
      <c r="Q148" s="397"/>
      <c r="R148" s="397"/>
      <c r="S148" s="397"/>
      <c r="T148" s="397"/>
      <c r="U148" s="397"/>
      <c r="V148" s="397"/>
      <c r="W148" s="397"/>
      <c r="X148" s="397"/>
      <c r="Y148" s="397"/>
      <c r="Z148" s="397"/>
      <c r="AA148" s="397"/>
      <c r="AB148" s="397"/>
      <c r="AC148" s="397"/>
      <c r="AD148" s="397"/>
      <c r="AE148" s="397"/>
      <c r="AF148" s="397"/>
      <c r="AG148" s="397"/>
      <c r="AH148" s="397"/>
      <c r="AI148" s="397"/>
      <c r="AJ148" s="397"/>
      <c r="AK148" s="397"/>
      <c r="AL148" s="397"/>
      <c r="AM148" s="397"/>
      <c r="AN148" s="397"/>
      <c r="AO148" s="397"/>
      <c r="AP148" s="397"/>
      <c r="AQ148" s="397"/>
      <c r="AR148" s="397"/>
      <c r="AS148" s="397"/>
      <c r="AT148" s="397"/>
      <c r="AU148" s="397"/>
      <c r="AV148" s="397"/>
      <c r="AW148" s="397"/>
      <c r="AX148" s="397"/>
      <c r="AY148" s="397"/>
      <c r="AZ148" s="397"/>
      <c r="BA148" s="397"/>
      <c r="BB148" s="397"/>
      <c r="BC148" s="397"/>
      <c r="BD148" s="397"/>
      <c r="BE148" s="397"/>
      <c r="BF148" s="397"/>
      <c r="BG148" s="397"/>
      <c r="BH148" s="397"/>
      <c r="BI148" s="397"/>
      <c r="BJ148" s="397"/>
      <c r="BK148" s="397"/>
      <c r="BL148" s="397"/>
      <c r="BM148" s="397"/>
      <c r="BN148" s="397"/>
    </row>
    <row r="149" spans="5:66" ht="14.25">
      <c r="E149" s="397"/>
      <c r="F149" s="397"/>
      <c r="G149" s="397"/>
      <c r="H149" s="397"/>
      <c r="I149" s="397"/>
      <c r="J149" s="397"/>
      <c r="K149" s="397"/>
      <c r="L149" s="397"/>
      <c r="M149" s="397"/>
      <c r="N149" s="397"/>
      <c r="O149" s="397"/>
      <c r="P149" s="397"/>
      <c r="Q149" s="397"/>
      <c r="R149" s="397"/>
      <c r="S149" s="397"/>
      <c r="T149" s="397"/>
      <c r="U149" s="397"/>
      <c r="V149" s="397"/>
      <c r="W149" s="397"/>
      <c r="X149" s="397"/>
      <c r="Y149" s="397"/>
      <c r="Z149" s="397"/>
      <c r="AA149" s="397"/>
      <c r="AB149" s="397"/>
      <c r="AC149" s="397"/>
      <c r="AD149" s="397"/>
      <c r="AE149" s="397"/>
      <c r="AF149" s="397"/>
      <c r="AG149" s="397"/>
      <c r="AH149" s="397"/>
      <c r="AI149" s="397"/>
      <c r="AJ149" s="397"/>
      <c r="AK149" s="397"/>
      <c r="AL149" s="397"/>
      <c r="AM149" s="397"/>
      <c r="AN149" s="397"/>
      <c r="AO149" s="397"/>
      <c r="AP149" s="397"/>
      <c r="AQ149" s="397"/>
      <c r="AR149" s="397"/>
      <c r="AS149" s="397"/>
      <c r="AT149" s="397"/>
      <c r="AU149" s="397"/>
      <c r="AV149" s="397"/>
      <c r="AW149" s="397"/>
      <c r="AX149" s="397"/>
      <c r="AY149" s="397"/>
      <c r="AZ149" s="397"/>
      <c r="BA149" s="397"/>
      <c r="BB149" s="397"/>
      <c r="BC149" s="397"/>
      <c r="BD149" s="397"/>
      <c r="BE149" s="397"/>
      <c r="BF149" s="397"/>
      <c r="BG149" s="397"/>
      <c r="BH149" s="397"/>
      <c r="BI149" s="397"/>
      <c r="BJ149" s="397"/>
      <c r="BK149" s="397"/>
      <c r="BL149" s="397"/>
      <c r="BM149" s="397"/>
      <c r="BN149" s="397"/>
    </row>
    <row r="150" spans="5:66" ht="14.25">
      <c r="E150" s="397"/>
      <c r="F150" s="397"/>
      <c r="G150" s="397"/>
      <c r="H150" s="397"/>
      <c r="I150" s="397"/>
      <c r="J150" s="397"/>
      <c r="K150" s="397"/>
      <c r="L150" s="397"/>
      <c r="M150" s="397"/>
      <c r="N150" s="397"/>
      <c r="O150" s="397"/>
      <c r="P150" s="397"/>
      <c r="Q150" s="397"/>
      <c r="R150" s="397"/>
      <c r="S150" s="397"/>
      <c r="T150" s="397"/>
      <c r="U150" s="397"/>
      <c r="V150" s="397"/>
      <c r="W150" s="397"/>
      <c r="X150" s="397"/>
      <c r="Y150" s="397"/>
      <c r="Z150" s="397"/>
      <c r="AA150" s="397"/>
      <c r="AB150" s="397"/>
      <c r="AC150" s="397"/>
      <c r="AD150" s="397"/>
      <c r="AE150" s="397"/>
      <c r="AF150" s="397"/>
      <c r="AG150" s="397"/>
      <c r="AH150" s="397"/>
      <c r="AI150" s="397"/>
      <c r="AJ150" s="397"/>
      <c r="AK150" s="397"/>
      <c r="AL150" s="397"/>
      <c r="AM150" s="397"/>
      <c r="AN150" s="397"/>
      <c r="AO150" s="397"/>
      <c r="AP150" s="397"/>
      <c r="AQ150" s="397"/>
      <c r="AR150" s="397"/>
      <c r="AS150" s="397"/>
      <c r="AT150" s="397"/>
      <c r="AU150" s="397"/>
      <c r="AV150" s="397"/>
      <c r="AW150" s="397"/>
      <c r="AX150" s="397"/>
      <c r="AY150" s="397"/>
      <c r="AZ150" s="397"/>
      <c r="BA150" s="397"/>
      <c r="BB150" s="397"/>
      <c r="BC150" s="397"/>
      <c r="BD150" s="397"/>
      <c r="BE150" s="397"/>
      <c r="BF150" s="397"/>
      <c r="BG150" s="397"/>
      <c r="BH150" s="397"/>
      <c r="BI150" s="397"/>
      <c r="BJ150" s="397"/>
      <c r="BK150" s="397"/>
      <c r="BL150" s="397"/>
      <c r="BM150" s="397"/>
      <c r="BN150" s="397"/>
    </row>
    <row r="151" spans="5:66" ht="14.25"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  <c r="AJ151" s="397"/>
      <c r="AK151" s="397"/>
      <c r="AL151" s="397"/>
      <c r="AM151" s="397"/>
      <c r="AN151" s="397"/>
      <c r="AO151" s="397"/>
      <c r="AP151" s="397"/>
      <c r="AQ151" s="397"/>
      <c r="AR151" s="397"/>
      <c r="AS151" s="397"/>
      <c r="AT151" s="397"/>
      <c r="AU151" s="397"/>
      <c r="AV151" s="397"/>
      <c r="AW151" s="397"/>
      <c r="AX151" s="397"/>
      <c r="AY151" s="397"/>
      <c r="AZ151" s="397"/>
      <c r="BA151" s="397"/>
      <c r="BB151" s="397"/>
      <c r="BC151" s="397"/>
      <c r="BD151" s="397"/>
      <c r="BE151" s="397"/>
      <c r="BF151" s="397"/>
      <c r="BG151" s="397"/>
      <c r="BH151" s="397"/>
      <c r="BI151" s="397"/>
      <c r="BJ151" s="397"/>
      <c r="BK151" s="397"/>
      <c r="BL151" s="397"/>
      <c r="BM151" s="397"/>
      <c r="BN151" s="397"/>
    </row>
    <row r="152" spans="5:66" ht="14.25"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7"/>
      <c r="U152" s="397"/>
      <c r="V152" s="397"/>
      <c r="W152" s="397"/>
      <c r="X152" s="397"/>
      <c r="Y152" s="397"/>
      <c r="Z152" s="397"/>
      <c r="AA152" s="397"/>
      <c r="AB152" s="397"/>
      <c r="AC152" s="397"/>
      <c r="AD152" s="397"/>
      <c r="AE152" s="397"/>
      <c r="AF152" s="397"/>
      <c r="AG152" s="397"/>
      <c r="AH152" s="397"/>
      <c r="AI152" s="397"/>
      <c r="AJ152" s="397"/>
      <c r="AK152" s="397"/>
      <c r="AL152" s="397"/>
      <c r="AM152" s="397"/>
      <c r="AN152" s="397"/>
      <c r="AO152" s="397"/>
      <c r="AP152" s="397"/>
      <c r="AQ152" s="397"/>
      <c r="AR152" s="397"/>
      <c r="AS152" s="397"/>
      <c r="AT152" s="397"/>
      <c r="AU152" s="397"/>
      <c r="AV152" s="397"/>
      <c r="AW152" s="397"/>
      <c r="AX152" s="397"/>
      <c r="AY152" s="397"/>
      <c r="AZ152" s="397"/>
      <c r="BA152" s="397"/>
      <c r="BB152" s="397"/>
      <c r="BC152" s="397"/>
      <c r="BD152" s="397"/>
      <c r="BE152" s="397"/>
      <c r="BF152" s="397"/>
      <c r="BG152" s="397"/>
      <c r="BH152" s="397"/>
      <c r="BI152" s="397"/>
      <c r="BJ152" s="397"/>
      <c r="BK152" s="397"/>
      <c r="BL152" s="397"/>
      <c r="BM152" s="397"/>
      <c r="BN152" s="397"/>
    </row>
    <row r="153" spans="5:66" ht="14.25"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  <c r="Q153" s="397"/>
      <c r="R153" s="397"/>
      <c r="S153" s="397"/>
      <c r="T153" s="397"/>
      <c r="U153" s="397"/>
      <c r="V153" s="397"/>
      <c r="W153" s="397"/>
      <c r="X153" s="397"/>
      <c r="Y153" s="397"/>
      <c r="Z153" s="397"/>
      <c r="AA153" s="397"/>
      <c r="AB153" s="397"/>
      <c r="AC153" s="397"/>
      <c r="AD153" s="397"/>
      <c r="AE153" s="397"/>
      <c r="AF153" s="397"/>
      <c r="AG153" s="397"/>
      <c r="AH153" s="397"/>
      <c r="AI153" s="397"/>
      <c r="AJ153" s="397"/>
      <c r="AK153" s="397"/>
      <c r="AL153" s="397"/>
      <c r="AM153" s="397"/>
      <c r="AN153" s="397"/>
      <c r="AO153" s="397"/>
      <c r="AP153" s="397"/>
      <c r="AQ153" s="397"/>
      <c r="AR153" s="397"/>
      <c r="AS153" s="397"/>
      <c r="AT153" s="397"/>
      <c r="AU153" s="397"/>
      <c r="AV153" s="397"/>
      <c r="AW153" s="397"/>
      <c r="AX153" s="397"/>
      <c r="AY153" s="397"/>
      <c r="AZ153" s="397"/>
      <c r="BA153" s="397"/>
      <c r="BB153" s="397"/>
      <c r="BC153" s="397"/>
      <c r="BD153" s="397"/>
      <c r="BE153" s="397"/>
      <c r="BF153" s="397"/>
      <c r="BG153" s="397"/>
      <c r="BH153" s="397"/>
      <c r="BI153" s="397"/>
      <c r="BJ153" s="397"/>
      <c r="BK153" s="397"/>
      <c r="BL153" s="397"/>
      <c r="BM153" s="397"/>
      <c r="BN153" s="397"/>
    </row>
    <row r="154" spans="5:66" ht="14.25">
      <c r="E154" s="397"/>
      <c r="F154" s="397"/>
      <c r="G154" s="397"/>
      <c r="H154" s="397"/>
      <c r="I154" s="397"/>
      <c r="J154" s="397"/>
      <c r="K154" s="397"/>
      <c r="L154" s="397"/>
      <c r="M154" s="397"/>
      <c r="N154" s="397"/>
      <c r="O154" s="397"/>
      <c r="P154" s="397"/>
      <c r="Q154" s="397"/>
      <c r="R154" s="397"/>
      <c r="S154" s="397"/>
      <c r="T154" s="397"/>
      <c r="U154" s="397"/>
      <c r="V154" s="397"/>
      <c r="W154" s="397"/>
      <c r="X154" s="397"/>
      <c r="Y154" s="397"/>
      <c r="Z154" s="397"/>
      <c r="AA154" s="397"/>
      <c r="AB154" s="397"/>
      <c r="AC154" s="397"/>
      <c r="AD154" s="397"/>
      <c r="AE154" s="397"/>
      <c r="AF154" s="397"/>
      <c r="AG154" s="397"/>
      <c r="AH154" s="397"/>
      <c r="AI154" s="397"/>
      <c r="AJ154" s="397"/>
      <c r="AK154" s="397"/>
      <c r="AL154" s="397"/>
      <c r="AM154" s="397"/>
      <c r="AN154" s="397"/>
      <c r="AO154" s="397"/>
      <c r="AP154" s="397"/>
      <c r="AQ154" s="397"/>
      <c r="AR154" s="397"/>
      <c r="AS154" s="397"/>
      <c r="AT154" s="397"/>
      <c r="AU154" s="397"/>
      <c r="AV154" s="397"/>
      <c r="AW154" s="397"/>
      <c r="AX154" s="397"/>
      <c r="AY154" s="397"/>
      <c r="AZ154" s="397"/>
      <c r="BA154" s="397"/>
      <c r="BB154" s="397"/>
      <c r="BC154" s="397"/>
      <c r="BD154" s="397"/>
      <c r="BE154" s="397"/>
      <c r="BF154" s="397"/>
      <c r="BG154" s="397"/>
      <c r="BH154" s="397"/>
      <c r="BI154" s="397"/>
      <c r="BJ154" s="397"/>
      <c r="BK154" s="397"/>
      <c r="BL154" s="397"/>
      <c r="BM154" s="397"/>
      <c r="BN154" s="397"/>
    </row>
    <row r="155" spans="5:66" ht="14.25">
      <c r="E155" s="397"/>
      <c r="F155" s="397"/>
      <c r="G155" s="397"/>
      <c r="H155" s="397"/>
      <c r="I155" s="397"/>
      <c r="J155" s="397"/>
      <c r="K155" s="397"/>
      <c r="L155" s="397"/>
      <c r="M155" s="397"/>
      <c r="N155" s="397"/>
      <c r="O155" s="397"/>
      <c r="P155" s="397"/>
      <c r="Q155" s="397"/>
      <c r="R155" s="397"/>
      <c r="S155" s="397"/>
      <c r="T155" s="397"/>
      <c r="U155" s="397"/>
      <c r="V155" s="397"/>
      <c r="W155" s="397"/>
      <c r="X155" s="397"/>
      <c r="Y155" s="397"/>
      <c r="Z155" s="397"/>
      <c r="AA155" s="397"/>
      <c r="AB155" s="397"/>
      <c r="AC155" s="397"/>
      <c r="AD155" s="397"/>
      <c r="AE155" s="397"/>
      <c r="AF155" s="397"/>
      <c r="AG155" s="397"/>
      <c r="AH155" s="397"/>
      <c r="AI155" s="397"/>
      <c r="AJ155" s="397"/>
      <c r="AK155" s="397"/>
      <c r="AL155" s="397"/>
      <c r="AM155" s="397"/>
      <c r="AN155" s="397"/>
      <c r="AO155" s="397"/>
      <c r="AP155" s="397"/>
      <c r="AQ155" s="397"/>
      <c r="AR155" s="397"/>
      <c r="AS155" s="397"/>
      <c r="AT155" s="397"/>
      <c r="AU155" s="397"/>
      <c r="AV155" s="397"/>
      <c r="AW155" s="397"/>
      <c r="AX155" s="397"/>
      <c r="AY155" s="397"/>
      <c r="AZ155" s="397"/>
      <c r="BA155" s="397"/>
      <c r="BB155" s="397"/>
      <c r="BC155" s="397"/>
      <c r="BD155" s="397"/>
      <c r="BE155" s="397"/>
      <c r="BF155" s="397"/>
      <c r="BG155" s="397"/>
      <c r="BH155" s="397"/>
      <c r="BI155" s="397"/>
      <c r="BJ155" s="397"/>
      <c r="BK155" s="397"/>
      <c r="BL155" s="397"/>
      <c r="BM155" s="397"/>
      <c r="BN155" s="397"/>
    </row>
    <row r="156" spans="5:66" ht="14.25">
      <c r="E156" s="397"/>
      <c r="F156" s="397"/>
      <c r="G156" s="397"/>
      <c r="H156" s="397"/>
      <c r="I156" s="397"/>
      <c r="J156" s="397"/>
      <c r="K156" s="397"/>
      <c r="L156" s="397"/>
      <c r="M156" s="397"/>
      <c r="N156" s="397"/>
      <c r="O156" s="397"/>
      <c r="P156" s="397"/>
      <c r="Q156" s="397"/>
      <c r="R156" s="397"/>
      <c r="S156" s="397"/>
      <c r="T156" s="397"/>
      <c r="U156" s="397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397"/>
      <c r="AF156" s="397"/>
      <c r="AG156" s="397"/>
      <c r="AH156" s="397"/>
      <c r="AI156" s="397"/>
      <c r="AJ156" s="397"/>
      <c r="AK156" s="397"/>
      <c r="AL156" s="397"/>
      <c r="AM156" s="397"/>
      <c r="AN156" s="397"/>
      <c r="AO156" s="397"/>
      <c r="AP156" s="397"/>
      <c r="AQ156" s="397"/>
      <c r="AR156" s="397"/>
      <c r="AS156" s="397"/>
      <c r="AT156" s="397"/>
      <c r="AU156" s="397"/>
      <c r="AV156" s="397"/>
      <c r="AW156" s="397"/>
      <c r="AX156" s="397"/>
      <c r="AY156" s="397"/>
      <c r="AZ156" s="397"/>
      <c r="BA156" s="397"/>
      <c r="BB156" s="397"/>
      <c r="BC156" s="397"/>
      <c r="BD156" s="397"/>
      <c r="BE156" s="397"/>
      <c r="BF156" s="397"/>
      <c r="BG156" s="397"/>
      <c r="BH156" s="397"/>
      <c r="BI156" s="397"/>
      <c r="BJ156" s="397"/>
      <c r="BK156" s="397"/>
      <c r="BL156" s="397"/>
      <c r="BM156" s="397"/>
      <c r="BN156" s="397"/>
    </row>
    <row r="157" spans="5:66" ht="14.25"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  <c r="O157" s="397"/>
      <c r="P157" s="397"/>
      <c r="Q157" s="397"/>
      <c r="R157" s="397"/>
      <c r="S157" s="397"/>
      <c r="T157" s="397"/>
      <c r="U157" s="397"/>
      <c r="V157" s="397"/>
      <c r="W157" s="397"/>
      <c r="X157" s="397"/>
      <c r="Y157" s="397"/>
      <c r="Z157" s="397"/>
      <c r="AA157" s="397"/>
      <c r="AB157" s="397"/>
      <c r="AC157" s="397"/>
      <c r="AD157" s="397"/>
      <c r="AE157" s="397"/>
      <c r="AF157" s="397"/>
      <c r="AG157" s="397"/>
      <c r="AH157" s="397"/>
      <c r="AI157" s="397"/>
      <c r="AJ157" s="397"/>
      <c r="AK157" s="397"/>
      <c r="AL157" s="397"/>
      <c r="AM157" s="397"/>
      <c r="AN157" s="397"/>
      <c r="AO157" s="397"/>
      <c r="AP157" s="397"/>
      <c r="AQ157" s="397"/>
      <c r="AR157" s="397"/>
      <c r="AS157" s="397"/>
      <c r="AT157" s="397"/>
      <c r="AU157" s="397"/>
      <c r="AV157" s="397"/>
      <c r="AW157" s="397"/>
      <c r="AX157" s="397"/>
      <c r="AY157" s="397"/>
      <c r="AZ157" s="397"/>
      <c r="BA157" s="397"/>
      <c r="BB157" s="397"/>
      <c r="BC157" s="397"/>
      <c r="BD157" s="397"/>
      <c r="BE157" s="397"/>
      <c r="BF157" s="397"/>
      <c r="BG157" s="397"/>
      <c r="BH157" s="397"/>
      <c r="BI157" s="397"/>
      <c r="BJ157" s="397"/>
      <c r="BK157" s="397"/>
      <c r="BL157" s="397"/>
      <c r="BM157" s="397"/>
      <c r="BN157" s="397"/>
    </row>
    <row r="158" spans="5:66" ht="14.25">
      <c r="E158" s="397"/>
      <c r="F158" s="397"/>
      <c r="G158" s="397"/>
      <c r="H158" s="397"/>
      <c r="I158" s="397"/>
      <c r="J158" s="397"/>
      <c r="K158" s="397"/>
      <c r="L158" s="397"/>
      <c r="M158" s="397"/>
      <c r="N158" s="397"/>
      <c r="O158" s="397"/>
      <c r="P158" s="397"/>
      <c r="Q158" s="397"/>
      <c r="R158" s="397"/>
      <c r="S158" s="397"/>
      <c r="T158" s="397"/>
      <c r="U158" s="397"/>
      <c r="V158" s="397"/>
      <c r="W158" s="397"/>
      <c r="X158" s="397"/>
      <c r="Y158" s="397"/>
      <c r="Z158" s="397"/>
      <c r="AA158" s="397"/>
      <c r="AB158" s="397"/>
      <c r="AC158" s="397"/>
      <c r="AD158" s="397"/>
      <c r="AE158" s="397"/>
      <c r="AF158" s="397"/>
      <c r="AG158" s="397"/>
      <c r="AH158" s="397"/>
      <c r="AI158" s="397"/>
      <c r="AJ158" s="397"/>
      <c r="AK158" s="397"/>
      <c r="AL158" s="397"/>
      <c r="AM158" s="397"/>
      <c r="AN158" s="397"/>
      <c r="AO158" s="397"/>
      <c r="AP158" s="397"/>
      <c r="AQ158" s="397"/>
      <c r="AR158" s="397"/>
      <c r="AS158" s="397"/>
      <c r="AT158" s="397"/>
      <c r="AU158" s="397"/>
      <c r="AV158" s="397"/>
      <c r="AW158" s="397"/>
      <c r="AX158" s="397"/>
      <c r="AY158" s="397"/>
      <c r="AZ158" s="397"/>
      <c r="BA158" s="397"/>
      <c r="BB158" s="397"/>
      <c r="BC158" s="397"/>
      <c r="BD158" s="397"/>
      <c r="BE158" s="397"/>
      <c r="BF158" s="397"/>
      <c r="BG158" s="397"/>
      <c r="BH158" s="397"/>
      <c r="BI158" s="397"/>
      <c r="BJ158" s="397"/>
      <c r="BK158" s="397"/>
      <c r="BL158" s="397"/>
      <c r="BM158" s="397"/>
      <c r="BN158" s="397"/>
    </row>
    <row r="159" spans="5:66" ht="14.25"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97"/>
      <c r="AL159" s="397"/>
      <c r="AM159" s="397"/>
      <c r="AN159" s="397"/>
      <c r="AO159" s="397"/>
      <c r="AP159" s="397"/>
      <c r="AQ159" s="397"/>
      <c r="AR159" s="397"/>
      <c r="AS159" s="397"/>
      <c r="AT159" s="397"/>
      <c r="AU159" s="397"/>
      <c r="AV159" s="397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397"/>
      <c r="BG159" s="397"/>
      <c r="BH159" s="397"/>
      <c r="BI159" s="397"/>
      <c r="BJ159" s="397"/>
      <c r="BK159" s="397"/>
      <c r="BL159" s="397"/>
      <c r="BM159" s="397"/>
      <c r="BN159" s="397"/>
    </row>
    <row r="160" spans="5:66" ht="14.25">
      <c r="E160" s="397"/>
      <c r="F160" s="397"/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97"/>
      <c r="R160" s="397"/>
      <c r="S160" s="397"/>
      <c r="T160" s="397"/>
      <c r="U160" s="397"/>
      <c r="V160" s="397"/>
      <c r="W160" s="397"/>
      <c r="X160" s="397"/>
      <c r="Y160" s="397"/>
      <c r="Z160" s="397"/>
      <c r="AA160" s="397"/>
      <c r="AB160" s="397"/>
      <c r="AC160" s="397"/>
      <c r="AD160" s="397"/>
      <c r="AE160" s="397"/>
      <c r="AF160" s="397"/>
      <c r="AG160" s="397"/>
      <c r="AH160" s="397"/>
      <c r="AI160" s="397"/>
      <c r="AJ160" s="397"/>
      <c r="AK160" s="397"/>
      <c r="AL160" s="397"/>
      <c r="AM160" s="397"/>
      <c r="AN160" s="397"/>
      <c r="AO160" s="397"/>
      <c r="AP160" s="397"/>
      <c r="AQ160" s="397"/>
      <c r="AR160" s="397"/>
      <c r="AS160" s="397"/>
      <c r="AT160" s="397"/>
      <c r="AU160" s="397"/>
      <c r="AV160" s="397"/>
      <c r="AW160" s="397"/>
      <c r="AX160" s="397"/>
      <c r="AY160" s="397"/>
      <c r="AZ160" s="397"/>
      <c r="BA160" s="397"/>
      <c r="BB160" s="397"/>
      <c r="BC160" s="397"/>
      <c r="BD160" s="397"/>
      <c r="BE160" s="397"/>
      <c r="BF160" s="397"/>
      <c r="BG160" s="397"/>
      <c r="BH160" s="397"/>
      <c r="BI160" s="397"/>
      <c r="BJ160" s="397"/>
      <c r="BK160" s="397"/>
      <c r="BL160" s="397"/>
      <c r="BM160" s="397"/>
      <c r="BN160" s="397"/>
    </row>
    <row r="161" spans="5:66" ht="14.25">
      <c r="E161" s="397"/>
      <c r="F161" s="397"/>
      <c r="G161" s="397"/>
      <c r="H161" s="397"/>
      <c r="I161" s="397"/>
      <c r="J161" s="397"/>
      <c r="K161" s="397"/>
      <c r="L161" s="397"/>
      <c r="M161" s="397"/>
      <c r="N161" s="397"/>
      <c r="O161" s="397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397"/>
      <c r="AB161" s="397"/>
      <c r="AC161" s="397"/>
      <c r="AD161" s="397"/>
      <c r="AE161" s="397"/>
      <c r="AF161" s="397"/>
      <c r="AG161" s="397"/>
      <c r="AH161" s="397"/>
      <c r="AI161" s="397"/>
      <c r="AJ161" s="397"/>
      <c r="AK161" s="397"/>
      <c r="AL161" s="397"/>
      <c r="AM161" s="397"/>
      <c r="AN161" s="397"/>
      <c r="AO161" s="397"/>
      <c r="AP161" s="397"/>
      <c r="AQ161" s="397"/>
      <c r="AR161" s="397"/>
      <c r="AS161" s="397"/>
      <c r="AT161" s="397"/>
      <c r="AU161" s="397"/>
      <c r="AV161" s="397"/>
      <c r="AW161" s="397"/>
      <c r="AX161" s="397"/>
      <c r="AY161" s="397"/>
      <c r="AZ161" s="397"/>
      <c r="BA161" s="397"/>
      <c r="BB161" s="397"/>
      <c r="BC161" s="397"/>
      <c r="BD161" s="397"/>
      <c r="BE161" s="397"/>
      <c r="BF161" s="397"/>
      <c r="BG161" s="397"/>
      <c r="BH161" s="397"/>
      <c r="BI161" s="397"/>
      <c r="BJ161" s="397"/>
      <c r="BK161" s="397"/>
      <c r="BL161" s="397"/>
      <c r="BM161" s="397"/>
      <c r="BN161" s="397"/>
    </row>
    <row r="162" spans="5:66" ht="14.25">
      <c r="E162" s="397"/>
      <c r="F162" s="397"/>
      <c r="G162" s="397"/>
      <c r="H162" s="397"/>
      <c r="I162" s="397"/>
      <c r="J162" s="397"/>
      <c r="K162" s="397"/>
      <c r="L162" s="397"/>
      <c r="M162" s="397"/>
      <c r="N162" s="397"/>
      <c r="O162" s="397"/>
      <c r="P162" s="397"/>
      <c r="Q162" s="397"/>
      <c r="R162" s="397"/>
      <c r="S162" s="397"/>
      <c r="T162" s="397"/>
      <c r="U162" s="397"/>
      <c r="V162" s="397"/>
      <c r="W162" s="397"/>
      <c r="X162" s="397"/>
      <c r="Y162" s="397"/>
      <c r="Z162" s="397"/>
      <c r="AA162" s="397"/>
      <c r="AB162" s="397"/>
      <c r="AC162" s="397"/>
      <c r="AD162" s="397"/>
      <c r="AE162" s="397"/>
      <c r="AF162" s="397"/>
      <c r="AG162" s="397"/>
      <c r="AH162" s="397"/>
      <c r="AI162" s="397"/>
      <c r="AJ162" s="397"/>
      <c r="AK162" s="397"/>
      <c r="AL162" s="397"/>
      <c r="AM162" s="397"/>
      <c r="AN162" s="397"/>
      <c r="AO162" s="397"/>
      <c r="AP162" s="397"/>
      <c r="AQ162" s="397"/>
      <c r="AR162" s="397"/>
      <c r="AS162" s="397"/>
      <c r="AT162" s="397"/>
      <c r="AU162" s="397"/>
      <c r="AV162" s="397"/>
      <c r="AW162" s="397"/>
      <c r="AX162" s="397"/>
      <c r="AY162" s="397"/>
      <c r="AZ162" s="397"/>
      <c r="BA162" s="397"/>
      <c r="BB162" s="397"/>
      <c r="BC162" s="397"/>
      <c r="BD162" s="397"/>
      <c r="BE162" s="397"/>
      <c r="BF162" s="397"/>
      <c r="BG162" s="397"/>
      <c r="BH162" s="397"/>
      <c r="BI162" s="397"/>
      <c r="BJ162" s="397"/>
      <c r="BK162" s="397"/>
      <c r="BL162" s="397"/>
      <c r="BM162" s="397"/>
      <c r="BN162" s="397"/>
    </row>
    <row r="163" spans="5:66" ht="14.25"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397"/>
      <c r="AF163" s="397"/>
      <c r="AG163" s="397"/>
      <c r="AH163" s="397"/>
      <c r="AI163" s="397"/>
      <c r="AJ163" s="397"/>
      <c r="AK163" s="397"/>
      <c r="AL163" s="397"/>
      <c r="AM163" s="397"/>
      <c r="AN163" s="397"/>
      <c r="AO163" s="397"/>
      <c r="AP163" s="397"/>
      <c r="AQ163" s="397"/>
      <c r="AR163" s="397"/>
      <c r="AS163" s="397"/>
      <c r="AT163" s="397"/>
      <c r="AU163" s="397"/>
      <c r="AV163" s="397"/>
      <c r="AW163" s="397"/>
      <c r="AX163" s="397"/>
      <c r="AY163" s="397"/>
      <c r="AZ163" s="397"/>
      <c r="BA163" s="397"/>
      <c r="BB163" s="397"/>
      <c r="BC163" s="397"/>
      <c r="BD163" s="397"/>
      <c r="BE163" s="397"/>
      <c r="BF163" s="397"/>
      <c r="BG163" s="397"/>
      <c r="BH163" s="397"/>
      <c r="BI163" s="397"/>
      <c r="BJ163" s="397"/>
      <c r="BK163" s="397"/>
      <c r="BL163" s="397"/>
      <c r="BM163" s="397"/>
      <c r="BN163" s="397"/>
    </row>
    <row r="164" spans="5:66" ht="14.25">
      <c r="E164" s="397"/>
      <c r="F164" s="397"/>
      <c r="G164" s="397"/>
      <c r="H164" s="397"/>
      <c r="I164" s="397"/>
      <c r="J164" s="397"/>
      <c r="K164" s="397"/>
      <c r="L164" s="397"/>
      <c r="M164" s="397"/>
      <c r="N164" s="397"/>
      <c r="O164" s="397"/>
      <c r="P164" s="397"/>
      <c r="Q164" s="397"/>
      <c r="R164" s="397"/>
      <c r="S164" s="397"/>
      <c r="T164" s="397"/>
      <c r="U164" s="397"/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397"/>
      <c r="AF164" s="397"/>
      <c r="AG164" s="397"/>
      <c r="AH164" s="397"/>
      <c r="AI164" s="397"/>
      <c r="AJ164" s="397"/>
      <c r="AK164" s="397"/>
      <c r="AL164" s="397"/>
      <c r="AM164" s="397"/>
      <c r="AN164" s="397"/>
      <c r="AO164" s="397"/>
      <c r="AP164" s="397"/>
      <c r="AQ164" s="397"/>
      <c r="AR164" s="397"/>
      <c r="AS164" s="397"/>
      <c r="AT164" s="397"/>
      <c r="AU164" s="397"/>
      <c r="AV164" s="397"/>
      <c r="AW164" s="397"/>
      <c r="AX164" s="397"/>
      <c r="AY164" s="397"/>
      <c r="AZ164" s="397"/>
      <c r="BA164" s="397"/>
      <c r="BB164" s="397"/>
      <c r="BC164" s="397"/>
      <c r="BD164" s="397"/>
      <c r="BE164" s="397"/>
      <c r="BF164" s="397"/>
      <c r="BG164" s="397"/>
      <c r="BH164" s="397"/>
      <c r="BI164" s="397"/>
      <c r="BJ164" s="397"/>
      <c r="BK164" s="397"/>
      <c r="BL164" s="397"/>
      <c r="BM164" s="397"/>
      <c r="BN164" s="397"/>
    </row>
    <row r="165" spans="5:66" ht="14.25">
      <c r="E165" s="397"/>
      <c r="F165" s="397"/>
      <c r="G165" s="397"/>
      <c r="H165" s="397"/>
      <c r="I165" s="397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397"/>
      <c r="AG165" s="397"/>
      <c r="AH165" s="397"/>
      <c r="AI165" s="397"/>
      <c r="AJ165" s="397"/>
      <c r="AK165" s="397"/>
      <c r="AL165" s="397"/>
      <c r="AM165" s="397"/>
      <c r="AN165" s="397"/>
      <c r="AO165" s="397"/>
      <c r="AP165" s="397"/>
      <c r="AQ165" s="397"/>
      <c r="AR165" s="397"/>
      <c r="AS165" s="397"/>
      <c r="AT165" s="397"/>
      <c r="AU165" s="397"/>
      <c r="AV165" s="397"/>
      <c r="AW165" s="397"/>
      <c r="AX165" s="397"/>
      <c r="AY165" s="397"/>
      <c r="AZ165" s="397"/>
      <c r="BA165" s="397"/>
      <c r="BB165" s="397"/>
      <c r="BC165" s="397"/>
      <c r="BD165" s="397"/>
      <c r="BE165" s="397"/>
      <c r="BF165" s="397"/>
      <c r="BG165" s="397"/>
      <c r="BH165" s="397"/>
      <c r="BI165" s="397"/>
      <c r="BJ165" s="397"/>
      <c r="BK165" s="397"/>
      <c r="BL165" s="397"/>
      <c r="BM165" s="397"/>
      <c r="BN165" s="397"/>
    </row>
    <row r="166" spans="5:66" ht="14.25">
      <c r="E166" s="397"/>
      <c r="F166" s="397"/>
      <c r="G166" s="397"/>
      <c r="H166" s="397"/>
      <c r="I166" s="397"/>
      <c r="J166" s="397"/>
      <c r="K166" s="397"/>
      <c r="L166" s="397"/>
      <c r="M166" s="397"/>
      <c r="N166" s="397"/>
      <c r="O166" s="397"/>
      <c r="P166" s="397"/>
      <c r="Q166" s="397"/>
      <c r="R166" s="397"/>
      <c r="S166" s="397"/>
      <c r="T166" s="397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7"/>
      <c r="AI166" s="397"/>
      <c r="AJ166" s="397"/>
      <c r="AK166" s="397"/>
      <c r="AL166" s="397"/>
      <c r="AM166" s="397"/>
      <c r="AN166" s="397"/>
      <c r="AO166" s="397"/>
      <c r="AP166" s="397"/>
      <c r="AQ166" s="397"/>
      <c r="AR166" s="397"/>
      <c r="AS166" s="397"/>
      <c r="AT166" s="397"/>
      <c r="AU166" s="397"/>
      <c r="AV166" s="397"/>
      <c r="AW166" s="397"/>
      <c r="AX166" s="397"/>
      <c r="AY166" s="397"/>
      <c r="AZ166" s="397"/>
      <c r="BA166" s="397"/>
      <c r="BB166" s="397"/>
      <c r="BC166" s="397"/>
      <c r="BD166" s="397"/>
      <c r="BE166" s="397"/>
      <c r="BF166" s="397"/>
      <c r="BG166" s="397"/>
      <c r="BH166" s="397"/>
      <c r="BI166" s="397"/>
      <c r="BJ166" s="397"/>
      <c r="BK166" s="397"/>
      <c r="BL166" s="397"/>
      <c r="BM166" s="397"/>
      <c r="BN166" s="397"/>
    </row>
    <row r="167" spans="5:66" ht="14.25"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  <c r="AJ167" s="397"/>
      <c r="AK167" s="397"/>
      <c r="AL167" s="397"/>
      <c r="AM167" s="397"/>
      <c r="AN167" s="397"/>
      <c r="AO167" s="397"/>
      <c r="AP167" s="397"/>
      <c r="AQ167" s="397"/>
      <c r="AR167" s="397"/>
      <c r="AS167" s="397"/>
      <c r="AT167" s="397"/>
      <c r="AU167" s="397"/>
      <c r="AV167" s="397"/>
      <c r="AW167" s="397"/>
      <c r="AX167" s="397"/>
      <c r="AY167" s="397"/>
      <c r="AZ167" s="397"/>
      <c r="BA167" s="397"/>
      <c r="BB167" s="397"/>
      <c r="BC167" s="397"/>
      <c r="BD167" s="397"/>
      <c r="BE167" s="397"/>
      <c r="BF167" s="397"/>
      <c r="BG167" s="397"/>
      <c r="BH167" s="397"/>
      <c r="BI167" s="397"/>
      <c r="BJ167" s="397"/>
      <c r="BK167" s="397"/>
      <c r="BL167" s="397"/>
      <c r="BM167" s="397"/>
      <c r="BN167" s="397"/>
    </row>
    <row r="168" spans="5:66" ht="14.25">
      <c r="E168" s="397"/>
      <c r="F168" s="397"/>
      <c r="G168" s="397"/>
      <c r="H168" s="397"/>
      <c r="I168" s="397"/>
      <c r="J168" s="397"/>
      <c r="K168" s="397"/>
      <c r="L168" s="397"/>
      <c r="M168" s="397"/>
      <c r="N168" s="397"/>
      <c r="O168" s="397"/>
      <c r="P168" s="397"/>
      <c r="Q168" s="397"/>
      <c r="R168" s="397"/>
      <c r="S168" s="397"/>
      <c r="T168" s="397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397"/>
      <c r="AF168" s="397"/>
      <c r="AG168" s="397"/>
      <c r="AH168" s="397"/>
      <c r="AI168" s="397"/>
      <c r="AJ168" s="397"/>
      <c r="AK168" s="397"/>
      <c r="AL168" s="397"/>
      <c r="AM168" s="397"/>
      <c r="AN168" s="397"/>
      <c r="AO168" s="397"/>
      <c r="AP168" s="397"/>
      <c r="AQ168" s="397"/>
      <c r="AR168" s="397"/>
      <c r="AS168" s="397"/>
      <c r="AT168" s="397"/>
      <c r="AU168" s="397"/>
      <c r="AV168" s="397"/>
      <c r="AW168" s="397"/>
      <c r="AX168" s="397"/>
      <c r="AY168" s="397"/>
      <c r="AZ168" s="397"/>
      <c r="BA168" s="397"/>
      <c r="BB168" s="397"/>
      <c r="BC168" s="397"/>
      <c r="BD168" s="397"/>
      <c r="BE168" s="397"/>
      <c r="BF168" s="397"/>
      <c r="BG168" s="397"/>
      <c r="BH168" s="397"/>
      <c r="BI168" s="397"/>
      <c r="BJ168" s="397"/>
      <c r="BK168" s="397"/>
      <c r="BL168" s="397"/>
      <c r="BM168" s="397"/>
      <c r="BN168" s="397"/>
    </row>
    <row r="169" spans="5:66" ht="14.25">
      <c r="E169" s="397"/>
      <c r="F169" s="397"/>
      <c r="G169" s="397"/>
      <c r="H169" s="397"/>
      <c r="I169" s="397"/>
      <c r="J169" s="397"/>
      <c r="K169" s="397"/>
      <c r="L169" s="397"/>
      <c r="M169" s="397"/>
      <c r="N169" s="397"/>
      <c r="O169" s="397"/>
      <c r="P169" s="397"/>
      <c r="Q169" s="397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397"/>
      <c r="AM169" s="397"/>
      <c r="AN169" s="397"/>
      <c r="AO169" s="397"/>
      <c r="AP169" s="397"/>
      <c r="AQ169" s="397"/>
      <c r="AR169" s="397"/>
      <c r="AS169" s="397"/>
      <c r="AT169" s="397"/>
      <c r="AU169" s="397"/>
      <c r="AV169" s="397"/>
      <c r="AW169" s="397"/>
      <c r="AX169" s="397"/>
      <c r="AY169" s="397"/>
      <c r="AZ169" s="397"/>
      <c r="BA169" s="397"/>
      <c r="BB169" s="397"/>
      <c r="BC169" s="397"/>
      <c r="BD169" s="397"/>
      <c r="BE169" s="397"/>
      <c r="BF169" s="397"/>
      <c r="BG169" s="397"/>
      <c r="BH169" s="397"/>
      <c r="BI169" s="397"/>
      <c r="BJ169" s="397"/>
      <c r="BK169" s="397"/>
      <c r="BL169" s="397"/>
      <c r="BM169" s="397"/>
      <c r="BN169" s="397"/>
    </row>
    <row r="170" spans="5:66" ht="14.25">
      <c r="E170" s="397"/>
      <c r="F170" s="397"/>
      <c r="G170" s="397"/>
      <c r="H170" s="397"/>
      <c r="I170" s="397"/>
      <c r="J170" s="397"/>
      <c r="K170" s="397"/>
      <c r="L170" s="397"/>
      <c r="M170" s="397"/>
      <c r="N170" s="397"/>
      <c r="O170" s="397"/>
      <c r="P170" s="397"/>
      <c r="Q170" s="397"/>
      <c r="R170" s="397"/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397"/>
      <c r="AG170" s="397"/>
      <c r="AH170" s="397"/>
      <c r="AI170" s="397"/>
      <c r="AJ170" s="397"/>
      <c r="AK170" s="397"/>
      <c r="AL170" s="397"/>
      <c r="AM170" s="397"/>
      <c r="AN170" s="397"/>
      <c r="AO170" s="397"/>
      <c r="AP170" s="397"/>
      <c r="AQ170" s="397"/>
      <c r="AR170" s="397"/>
      <c r="AS170" s="397"/>
      <c r="AT170" s="397"/>
      <c r="AU170" s="397"/>
      <c r="AV170" s="397"/>
      <c r="AW170" s="397"/>
      <c r="AX170" s="397"/>
      <c r="AY170" s="397"/>
      <c r="AZ170" s="397"/>
      <c r="BA170" s="397"/>
      <c r="BB170" s="397"/>
      <c r="BC170" s="397"/>
      <c r="BD170" s="397"/>
      <c r="BE170" s="397"/>
      <c r="BF170" s="397"/>
      <c r="BG170" s="397"/>
      <c r="BH170" s="397"/>
      <c r="BI170" s="397"/>
      <c r="BJ170" s="397"/>
      <c r="BK170" s="397"/>
      <c r="BL170" s="397"/>
      <c r="BM170" s="397"/>
      <c r="BN170" s="397"/>
    </row>
    <row r="171" spans="5:66" ht="14.25">
      <c r="E171" s="397"/>
      <c r="F171" s="397"/>
      <c r="G171" s="397"/>
      <c r="H171" s="397"/>
      <c r="I171" s="397"/>
      <c r="J171" s="397"/>
      <c r="K171" s="397"/>
      <c r="L171" s="397"/>
      <c r="M171" s="397"/>
      <c r="N171" s="397"/>
      <c r="O171" s="397"/>
      <c r="P171" s="397"/>
      <c r="Q171" s="397"/>
      <c r="R171" s="397"/>
      <c r="S171" s="397"/>
      <c r="T171" s="397"/>
      <c r="U171" s="397"/>
      <c r="V171" s="397"/>
      <c r="W171" s="397"/>
      <c r="X171" s="397"/>
      <c r="Y171" s="397"/>
      <c r="Z171" s="397"/>
      <c r="AA171" s="397"/>
      <c r="AB171" s="397"/>
      <c r="AC171" s="397"/>
      <c r="AD171" s="397"/>
      <c r="AE171" s="397"/>
      <c r="AF171" s="397"/>
      <c r="AG171" s="397"/>
      <c r="AH171" s="397"/>
      <c r="AI171" s="397"/>
      <c r="AJ171" s="397"/>
      <c r="AK171" s="397"/>
      <c r="AL171" s="397"/>
      <c r="AM171" s="397"/>
      <c r="AN171" s="397"/>
      <c r="AO171" s="397"/>
      <c r="AP171" s="397"/>
      <c r="AQ171" s="397"/>
      <c r="AR171" s="397"/>
      <c r="AS171" s="397"/>
      <c r="AT171" s="397"/>
      <c r="AU171" s="397"/>
      <c r="AV171" s="397"/>
      <c r="AW171" s="397"/>
      <c r="AX171" s="397"/>
      <c r="AY171" s="397"/>
      <c r="AZ171" s="397"/>
      <c r="BA171" s="397"/>
      <c r="BB171" s="397"/>
      <c r="BC171" s="397"/>
      <c r="BD171" s="397"/>
      <c r="BE171" s="397"/>
      <c r="BF171" s="397"/>
      <c r="BG171" s="397"/>
      <c r="BH171" s="397"/>
      <c r="BI171" s="397"/>
      <c r="BJ171" s="397"/>
      <c r="BK171" s="397"/>
      <c r="BL171" s="397"/>
      <c r="BM171" s="397"/>
      <c r="BN171" s="397"/>
    </row>
    <row r="172" spans="5:66" ht="14.25">
      <c r="E172" s="397"/>
      <c r="F172" s="397"/>
      <c r="G172" s="397"/>
      <c r="H172" s="397"/>
      <c r="I172" s="397"/>
      <c r="J172" s="397"/>
      <c r="K172" s="397"/>
      <c r="L172" s="397"/>
      <c r="M172" s="397"/>
      <c r="N172" s="397"/>
      <c r="O172" s="397"/>
      <c r="P172" s="397"/>
      <c r="Q172" s="397"/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397"/>
      <c r="AM172" s="397"/>
      <c r="AN172" s="397"/>
      <c r="AO172" s="397"/>
      <c r="AP172" s="397"/>
      <c r="AQ172" s="397"/>
      <c r="AR172" s="397"/>
      <c r="AS172" s="397"/>
      <c r="AT172" s="397"/>
      <c r="AU172" s="397"/>
      <c r="AV172" s="397"/>
      <c r="AW172" s="397"/>
      <c r="AX172" s="397"/>
      <c r="AY172" s="397"/>
      <c r="AZ172" s="397"/>
      <c r="BA172" s="397"/>
      <c r="BB172" s="397"/>
      <c r="BC172" s="397"/>
      <c r="BD172" s="397"/>
      <c r="BE172" s="397"/>
      <c r="BF172" s="397"/>
      <c r="BG172" s="397"/>
      <c r="BH172" s="397"/>
      <c r="BI172" s="397"/>
      <c r="BJ172" s="397"/>
      <c r="BK172" s="397"/>
      <c r="BL172" s="397"/>
      <c r="BM172" s="397"/>
      <c r="BN172" s="397"/>
    </row>
    <row r="173" spans="5:66" ht="14.25">
      <c r="E173" s="397"/>
      <c r="F173" s="397"/>
      <c r="G173" s="397"/>
      <c r="H173" s="397"/>
      <c r="I173" s="397"/>
      <c r="J173" s="397"/>
      <c r="K173" s="397"/>
      <c r="L173" s="397"/>
      <c r="M173" s="397"/>
      <c r="N173" s="397"/>
      <c r="O173" s="397"/>
      <c r="P173" s="397"/>
      <c r="Q173" s="397"/>
      <c r="R173" s="397"/>
      <c r="S173" s="397"/>
      <c r="T173" s="397"/>
      <c r="U173" s="397"/>
      <c r="V173" s="397"/>
      <c r="W173" s="397"/>
      <c r="X173" s="397"/>
      <c r="Y173" s="397"/>
      <c r="Z173" s="397"/>
      <c r="AA173" s="397"/>
      <c r="AB173" s="397"/>
      <c r="AC173" s="397"/>
      <c r="AD173" s="397"/>
      <c r="AE173" s="397"/>
      <c r="AF173" s="397"/>
      <c r="AG173" s="397"/>
      <c r="AH173" s="397"/>
      <c r="AI173" s="397"/>
      <c r="AJ173" s="397"/>
      <c r="AK173" s="397"/>
      <c r="AL173" s="397"/>
      <c r="AM173" s="397"/>
      <c r="AN173" s="397"/>
      <c r="AO173" s="397"/>
      <c r="AP173" s="397"/>
      <c r="AQ173" s="397"/>
      <c r="AR173" s="397"/>
      <c r="AS173" s="397"/>
      <c r="AT173" s="397"/>
      <c r="AU173" s="397"/>
      <c r="AV173" s="397"/>
      <c r="AW173" s="397"/>
      <c r="AX173" s="397"/>
      <c r="AY173" s="397"/>
      <c r="AZ173" s="397"/>
      <c r="BA173" s="397"/>
      <c r="BB173" s="397"/>
      <c r="BC173" s="397"/>
      <c r="BD173" s="397"/>
      <c r="BE173" s="397"/>
      <c r="BF173" s="397"/>
      <c r="BG173" s="397"/>
      <c r="BH173" s="397"/>
      <c r="BI173" s="397"/>
      <c r="BJ173" s="397"/>
      <c r="BK173" s="397"/>
      <c r="BL173" s="397"/>
      <c r="BM173" s="397"/>
      <c r="BN173" s="397"/>
    </row>
    <row r="174" spans="5:66" ht="14.25">
      <c r="E174" s="397"/>
      <c r="F174" s="397"/>
      <c r="G174" s="397"/>
      <c r="H174" s="397"/>
      <c r="I174" s="397"/>
      <c r="J174" s="397"/>
      <c r="K174" s="397"/>
      <c r="L174" s="397"/>
      <c r="M174" s="397"/>
      <c r="N174" s="397"/>
      <c r="O174" s="397"/>
      <c r="P174" s="397"/>
      <c r="Q174" s="397"/>
      <c r="R174" s="397"/>
      <c r="S174" s="397"/>
      <c r="T174" s="397"/>
      <c r="U174" s="397"/>
      <c r="V174" s="397"/>
      <c r="W174" s="397"/>
      <c r="X174" s="397"/>
      <c r="Y174" s="397"/>
      <c r="Z174" s="397"/>
      <c r="AA174" s="397"/>
      <c r="AB174" s="397"/>
      <c r="AC174" s="397"/>
      <c r="AD174" s="397"/>
      <c r="AE174" s="397"/>
      <c r="AF174" s="397"/>
      <c r="AG174" s="397"/>
      <c r="AH174" s="397"/>
      <c r="AI174" s="397"/>
      <c r="AJ174" s="397"/>
      <c r="AK174" s="397"/>
      <c r="AL174" s="397"/>
      <c r="AM174" s="397"/>
      <c r="AN174" s="397"/>
      <c r="AO174" s="397"/>
      <c r="AP174" s="397"/>
      <c r="AQ174" s="397"/>
      <c r="AR174" s="397"/>
      <c r="AS174" s="397"/>
      <c r="AT174" s="397"/>
      <c r="AU174" s="397"/>
      <c r="AV174" s="397"/>
      <c r="AW174" s="397"/>
      <c r="AX174" s="397"/>
      <c r="AY174" s="397"/>
      <c r="AZ174" s="397"/>
      <c r="BA174" s="397"/>
      <c r="BB174" s="397"/>
      <c r="BC174" s="397"/>
      <c r="BD174" s="397"/>
      <c r="BE174" s="397"/>
      <c r="BF174" s="397"/>
      <c r="BG174" s="397"/>
      <c r="BH174" s="397"/>
      <c r="BI174" s="397"/>
      <c r="BJ174" s="397"/>
      <c r="BK174" s="397"/>
      <c r="BL174" s="397"/>
      <c r="BM174" s="397"/>
      <c r="BN174" s="397"/>
    </row>
    <row r="175" spans="5:66" ht="14.25">
      <c r="E175" s="397"/>
      <c r="F175" s="397"/>
      <c r="G175" s="397"/>
      <c r="H175" s="397"/>
      <c r="I175" s="397"/>
      <c r="J175" s="397"/>
      <c r="K175" s="397"/>
      <c r="L175" s="397"/>
      <c r="M175" s="397"/>
      <c r="N175" s="397"/>
      <c r="O175" s="397"/>
      <c r="P175" s="397"/>
      <c r="Q175" s="397"/>
      <c r="R175" s="397"/>
      <c r="S175" s="397"/>
      <c r="T175" s="397"/>
      <c r="U175" s="397"/>
      <c r="V175" s="397"/>
      <c r="W175" s="397"/>
      <c r="X175" s="397"/>
      <c r="Y175" s="397"/>
      <c r="Z175" s="397"/>
      <c r="AA175" s="397"/>
      <c r="AB175" s="397"/>
      <c r="AC175" s="397"/>
      <c r="AD175" s="397"/>
      <c r="AE175" s="397"/>
      <c r="AF175" s="397"/>
      <c r="AG175" s="397"/>
      <c r="AH175" s="397"/>
      <c r="AI175" s="397"/>
      <c r="AJ175" s="397"/>
      <c r="AK175" s="397"/>
      <c r="AL175" s="397"/>
      <c r="AM175" s="397"/>
      <c r="AN175" s="397"/>
      <c r="AO175" s="397"/>
      <c r="AP175" s="397"/>
      <c r="AQ175" s="397"/>
      <c r="AR175" s="397"/>
      <c r="AS175" s="397"/>
      <c r="AT175" s="397"/>
      <c r="AU175" s="397"/>
      <c r="AV175" s="397"/>
      <c r="AW175" s="397"/>
      <c r="AX175" s="397"/>
      <c r="AY175" s="397"/>
      <c r="AZ175" s="397"/>
      <c r="BA175" s="397"/>
      <c r="BB175" s="397"/>
      <c r="BC175" s="397"/>
      <c r="BD175" s="397"/>
      <c r="BE175" s="397"/>
      <c r="BF175" s="397"/>
      <c r="BG175" s="397"/>
      <c r="BH175" s="397"/>
      <c r="BI175" s="397"/>
      <c r="BJ175" s="397"/>
      <c r="BK175" s="397"/>
      <c r="BL175" s="397"/>
      <c r="BM175" s="397"/>
      <c r="BN175" s="397"/>
    </row>
    <row r="176" spans="5:66" ht="14.25">
      <c r="E176" s="397"/>
      <c r="F176" s="397"/>
      <c r="G176" s="397"/>
      <c r="H176" s="397"/>
      <c r="I176" s="397"/>
      <c r="J176" s="397"/>
      <c r="K176" s="397"/>
      <c r="L176" s="397"/>
      <c r="M176" s="397"/>
      <c r="N176" s="397"/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397"/>
      <c r="AN176" s="397"/>
      <c r="AO176" s="397"/>
      <c r="AP176" s="397"/>
      <c r="AQ176" s="397"/>
      <c r="AR176" s="397"/>
      <c r="AS176" s="397"/>
      <c r="AT176" s="397"/>
      <c r="AU176" s="397"/>
      <c r="AV176" s="397"/>
      <c r="AW176" s="397"/>
      <c r="AX176" s="397"/>
      <c r="AY176" s="397"/>
      <c r="AZ176" s="397"/>
      <c r="BA176" s="397"/>
      <c r="BB176" s="397"/>
      <c r="BC176" s="397"/>
      <c r="BD176" s="397"/>
      <c r="BE176" s="397"/>
      <c r="BF176" s="397"/>
      <c r="BG176" s="397"/>
      <c r="BH176" s="397"/>
      <c r="BI176" s="397"/>
      <c r="BJ176" s="397"/>
      <c r="BK176" s="397"/>
      <c r="BL176" s="397"/>
      <c r="BM176" s="397"/>
      <c r="BN176" s="397"/>
    </row>
    <row r="177" spans="5:66" ht="14.25">
      <c r="E177" s="397"/>
      <c r="F177" s="397"/>
      <c r="G177" s="397"/>
      <c r="H177" s="397"/>
      <c r="I177" s="397"/>
      <c r="J177" s="397"/>
      <c r="K177" s="397"/>
      <c r="L177" s="397"/>
      <c r="M177" s="397"/>
      <c r="N177" s="397"/>
      <c r="O177" s="397"/>
      <c r="P177" s="397"/>
      <c r="Q177" s="397"/>
      <c r="R177" s="397"/>
      <c r="S177" s="397"/>
      <c r="T177" s="397"/>
      <c r="U177" s="397"/>
      <c r="V177" s="397"/>
      <c r="W177" s="397"/>
      <c r="X177" s="397"/>
      <c r="Y177" s="397"/>
      <c r="Z177" s="397"/>
      <c r="AA177" s="397"/>
      <c r="AB177" s="397"/>
      <c r="AC177" s="397"/>
      <c r="AD177" s="397"/>
      <c r="AE177" s="397"/>
      <c r="AF177" s="397"/>
      <c r="AG177" s="397"/>
      <c r="AH177" s="397"/>
      <c r="AI177" s="397"/>
      <c r="AJ177" s="397"/>
      <c r="AK177" s="397"/>
      <c r="AL177" s="397"/>
      <c r="AM177" s="397"/>
      <c r="AN177" s="397"/>
      <c r="AO177" s="397"/>
      <c r="AP177" s="397"/>
      <c r="AQ177" s="397"/>
      <c r="AR177" s="397"/>
      <c r="AS177" s="397"/>
      <c r="AT177" s="397"/>
      <c r="AU177" s="397"/>
      <c r="AV177" s="397"/>
      <c r="AW177" s="397"/>
      <c r="AX177" s="397"/>
      <c r="AY177" s="397"/>
      <c r="AZ177" s="397"/>
      <c r="BA177" s="397"/>
      <c r="BB177" s="397"/>
      <c r="BC177" s="397"/>
      <c r="BD177" s="397"/>
      <c r="BE177" s="397"/>
      <c r="BF177" s="397"/>
      <c r="BG177" s="397"/>
      <c r="BH177" s="397"/>
      <c r="BI177" s="397"/>
      <c r="BJ177" s="397"/>
      <c r="BK177" s="397"/>
      <c r="BL177" s="397"/>
      <c r="BM177" s="397"/>
      <c r="BN177" s="397"/>
    </row>
    <row r="178" spans="5:66" ht="14.25">
      <c r="E178" s="397"/>
      <c r="F178" s="397"/>
      <c r="G178" s="397"/>
      <c r="H178" s="397"/>
      <c r="I178" s="397"/>
      <c r="J178" s="397"/>
      <c r="K178" s="397"/>
      <c r="L178" s="397"/>
      <c r="M178" s="397"/>
      <c r="N178" s="397"/>
      <c r="O178" s="397"/>
      <c r="P178" s="397"/>
      <c r="Q178" s="397"/>
      <c r="R178" s="397"/>
      <c r="S178" s="397"/>
      <c r="T178" s="397"/>
      <c r="U178" s="397"/>
      <c r="V178" s="397"/>
      <c r="W178" s="397"/>
      <c r="X178" s="397"/>
      <c r="Y178" s="397"/>
      <c r="Z178" s="397"/>
      <c r="AA178" s="397"/>
      <c r="AB178" s="397"/>
      <c r="AC178" s="397"/>
      <c r="AD178" s="397"/>
      <c r="AE178" s="397"/>
      <c r="AF178" s="397"/>
      <c r="AG178" s="397"/>
      <c r="AH178" s="397"/>
      <c r="AI178" s="397"/>
      <c r="AJ178" s="397"/>
      <c r="AK178" s="397"/>
      <c r="AL178" s="397"/>
      <c r="AM178" s="397"/>
      <c r="AN178" s="397"/>
      <c r="AO178" s="397"/>
      <c r="AP178" s="397"/>
      <c r="AQ178" s="397"/>
      <c r="AR178" s="397"/>
      <c r="AS178" s="397"/>
      <c r="AT178" s="397"/>
      <c r="AU178" s="397"/>
      <c r="AV178" s="397"/>
      <c r="AW178" s="397"/>
      <c r="AX178" s="397"/>
      <c r="AY178" s="397"/>
      <c r="AZ178" s="397"/>
      <c r="BA178" s="397"/>
      <c r="BB178" s="397"/>
      <c r="BC178" s="397"/>
      <c r="BD178" s="397"/>
      <c r="BE178" s="397"/>
      <c r="BF178" s="397"/>
      <c r="BG178" s="397"/>
      <c r="BH178" s="397"/>
      <c r="BI178" s="397"/>
      <c r="BJ178" s="397"/>
      <c r="BK178" s="397"/>
      <c r="BL178" s="397"/>
      <c r="BM178" s="397"/>
      <c r="BN178" s="397"/>
    </row>
    <row r="179" spans="5:66" ht="14.25">
      <c r="E179" s="397"/>
      <c r="F179" s="397"/>
      <c r="G179" s="397"/>
      <c r="H179" s="397"/>
      <c r="I179" s="397"/>
      <c r="J179" s="397"/>
      <c r="K179" s="397"/>
      <c r="L179" s="397"/>
      <c r="M179" s="397"/>
      <c r="N179" s="397"/>
      <c r="O179" s="397"/>
      <c r="P179" s="397"/>
      <c r="Q179" s="397"/>
      <c r="R179" s="397"/>
      <c r="S179" s="397"/>
      <c r="T179" s="397"/>
      <c r="U179" s="397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397"/>
      <c r="AF179" s="397"/>
      <c r="AG179" s="397"/>
      <c r="AH179" s="397"/>
      <c r="AI179" s="397"/>
      <c r="AJ179" s="397"/>
      <c r="AK179" s="397"/>
      <c r="AL179" s="397"/>
      <c r="AM179" s="397"/>
      <c r="AN179" s="397"/>
      <c r="AO179" s="397"/>
      <c r="AP179" s="397"/>
      <c r="AQ179" s="397"/>
      <c r="AR179" s="397"/>
      <c r="AS179" s="397"/>
      <c r="AT179" s="397"/>
      <c r="AU179" s="397"/>
      <c r="AV179" s="397"/>
      <c r="AW179" s="397"/>
      <c r="AX179" s="397"/>
      <c r="AY179" s="397"/>
      <c r="AZ179" s="397"/>
      <c r="BA179" s="397"/>
      <c r="BB179" s="397"/>
      <c r="BC179" s="397"/>
      <c r="BD179" s="397"/>
      <c r="BE179" s="397"/>
      <c r="BF179" s="397"/>
      <c r="BG179" s="397"/>
      <c r="BH179" s="397"/>
      <c r="BI179" s="397"/>
      <c r="BJ179" s="397"/>
      <c r="BK179" s="397"/>
      <c r="BL179" s="397"/>
      <c r="BM179" s="397"/>
      <c r="BN179" s="397"/>
    </row>
    <row r="180" spans="5:66" ht="14.25">
      <c r="E180" s="397"/>
      <c r="F180" s="397"/>
      <c r="G180" s="397"/>
      <c r="H180" s="397"/>
      <c r="I180" s="397"/>
      <c r="J180" s="397"/>
      <c r="K180" s="397"/>
      <c r="L180" s="397"/>
      <c r="M180" s="397"/>
      <c r="N180" s="397"/>
      <c r="O180" s="397"/>
      <c r="P180" s="397"/>
      <c r="Q180" s="397"/>
      <c r="R180" s="397"/>
      <c r="S180" s="397"/>
      <c r="T180" s="397"/>
      <c r="U180" s="397"/>
      <c r="V180" s="397"/>
      <c r="W180" s="397"/>
      <c r="X180" s="397"/>
      <c r="Y180" s="397"/>
      <c r="Z180" s="397"/>
      <c r="AA180" s="397"/>
      <c r="AB180" s="397"/>
      <c r="AC180" s="397"/>
      <c r="AD180" s="397"/>
      <c r="AE180" s="397"/>
      <c r="AF180" s="397"/>
      <c r="AG180" s="397"/>
      <c r="AH180" s="397"/>
      <c r="AI180" s="397"/>
      <c r="AJ180" s="397"/>
      <c r="AK180" s="397"/>
      <c r="AL180" s="397"/>
      <c r="AM180" s="397"/>
      <c r="AN180" s="397"/>
      <c r="AO180" s="397"/>
      <c r="AP180" s="397"/>
      <c r="AQ180" s="397"/>
      <c r="AR180" s="397"/>
      <c r="AS180" s="397"/>
      <c r="AT180" s="397"/>
      <c r="AU180" s="397"/>
      <c r="AV180" s="397"/>
      <c r="AW180" s="397"/>
      <c r="AX180" s="397"/>
      <c r="AY180" s="397"/>
      <c r="AZ180" s="397"/>
      <c r="BA180" s="397"/>
      <c r="BB180" s="397"/>
      <c r="BC180" s="397"/>
      <c r="BD180" s="397"/>
      <c r="BE180" s="397"/>
      <c r="BF180" s="397"/>
      <c r="BG180" s="397"/>
      <c r="BH180" s="397"/>
      <c r="BI180" s="397"/>
      <c r="BJ180" s="397"/>
      <c r="BK180" s="397"/>
      <c r="BL180" s="397"/>
      <c r="BM180" s="397"/>
      <c r="BN180" s="397"/>
    </row>
    <row r="181" spans="5:66" ht="14.25">
      <c r="E181" s="397"/>
      <c r="F181" s="397"/>
      <c r="G181" s="397"/>
      <c r="H181" s="397"/>
      <c r="I181" s="397"/>
      <c r="J181" s="397"/>
      <c r="K181" s="397"/>
      <c r="L181" s="397"/>
      <c r="M181" s="397"/>
      <c r="N181" s="397"/>
      <c r="O181" s="397"/>
      <c r="P181" s="397"/>
      <c r="Q181" s="397"/>
      <c r="R181" s="397"/>
      <c r="S181" s="397"/>
      <c r="T181" s="397"/>
      <c r="U181" s="397"/>
      <c r="V181" s="397"/>
      <c r="W181" s="397"/>
      <c r="X181" s="397"/>
      <c r="Y181" s="397"/>
      <c r="Z181" s="397"/>
      <c r="AA181" s="397"/>
      <c r="AB181" s="397"/>
      <c r="AC181" s="397"/>
      <c r="AD181" s="397"/>
      <c r="AE181" s="397"/>
      <c r="AF181" s="397"/>
      <c r="AG181" s="397"/>
      <c r="AH181" s="397"/>
      <c r="AI181" s="397"/>
      <c r="AJ181" s="397"/>
      <c r="AK181" s="397"/>
      <c r="AL181" s="397"/>
      <c r="AM181" s="397"/>
      <c r="AN181" s="397"/>
      <c r="AO181" s="397"/>
      <c r="AP181" s="397"/>
      <c r="AQ181" s="397"/>
      <c r="AR181" s="397"/>
      <c r="AS181" s="397"/>
      <c r="AT181" s="397"/>
      <c r="AU181" s="397"/>
      <c r="AV181" s="397"/>
      <c r="AW181" s="397"/>
      <c r="AX181" s="397"/>
      <c r="AY181" s="397"/>
      <c r="AZ181" s="397"/>
      <c r="BA181" s="397"/>
      <c r="BB181" s="397"/>
      <c r="BC181" s="397"/>
      <c r="BD181" s="397"/>
      <c r="BE181" s="397"/>
      <c r="BF181" s="397"/>
      <c r="BG181" s="397"/>
      <c r="BH181" s="397"/>
      <c r="BI181" s="397"/>
      <c r="BJ181" s="397"/>
      <c r="BK181" s="397"/>
      <c r="BL181" s="397"/>
      <c r="BM181" s="397"/>
      <c r="BN181" s="397"/>
    </row>
    <row r="182" spans="5:66" ht="14.25">
      <c r="E182" s="397"/>
      <c r="F182" s="397"/>
      <c r="G182" s="397"/>
      <c r="H182" s="397"/>
      <c r="I182" s="397"/>
      <c r="J182" s="397"/>
      <c r="K182" s="397"/>
      <c r="L182" s="397"/>
      <c r="M182" s="397"/>
      <c r="N182" s="397"/>
      <c r="O182" s="397"/>
      <c r="P182" s="397"/>
      <c r="Q182" s="397"/>
      <c r="R182" s="397"/>
      <c r="S182" s="397"/>
      <c r="T182" s="397"/>
      <c r="U182" s="397"/>
      <c r="V182" s="397"/>
      <c r="W182" s="397"/>
      <c r="X182" s="397"/>
      <c r="Y182" s="397"/>
      <c r="Z182" s="397"/>
      <c r="AA182" s="397"/>
      <c r="AB182" s="397"/>
      <c r="AC182" s="397"/>
      <c r="AD182" s="397"/>
      <c r="AE182" s="397"/>
      <c r="AF182" s="397"/>
      <c r="AG182" s="397"/>
      <c r="AH182" s="397"/>
      <c r="AI182" s="397"/>
      <c r="AJ182" s="397"/>
      <c r="AK182" s="397"/>
      <c r="AL182" s="397"/>
      <c r="AM182" s="397"/>
      <c r="AN182" s="397"/>
      <c r="AO182" s="397"/>
      <c r="AP182" s="397"/>
      <c r="AQ182" s="397"/>
      <c r="AR182" s="397"/>
      <c r="AS182" s="397"/>
      <c r="AT182" s="397"/>
      <c r="AU182" s="397"/>
      <c r="AV182" s="397"/>
      <c r="AW182" s="397"/>
      <c r="AX182" s="397"/>
      <c r="AY182" s="397"/>
      <c r="AZ182" s="397"/>
      <c r="BA182" s="397"/>
      <c r="BB182" s="397"/>
      <c r="BC182" s="397"/>
      <c r="BD182" s="397"/>
      <c r="BE182" s="397"/>
      <c r="BF182" s="397"/>
      <c r="BG182" s="397"/>
      <c r="BH182" s="397"/>
      <c r="BI182" s="397"/>
      <c r="BJ182" s="397"/>
      <c r="BK182" s="397"/>
      <c r="BL182" s="397"/>
      <c r="BM182" s="397"/>
      <c r="BN182" s="397"/>
    </row>
    <row r="183" spans="5:66" ht="14.25">
      <c r="E183" s="397"/>
      <c r="F183" s="397"/>
      <c r="G183" s="397"/>
      <c r="H183" s="397"/>
      <c r="I183" s="397"/>
      <c r="J183" s="397"/>
      <c r="K183" s="397"/>
      <c r="L183" s="397"/>
      <c r="M183" s="397"/>
      <c r="N183" s="397"/>
      <c r="O183" s="397"/>
      <c r="P183" s="397"/>
      <c r="Q183" s="397"/>
      <c r="R183" s="397"/>
      <c r="S183" s="397"/>
      <c r="T183" s="397"/>
      <c r="U183" s="397"/>
      <c r="V183" s="397"/>
      <c r="W183" s="397"/>
      <c r="X183" s="397"/>
      <c r="Y183" s="397"/>
      <c r="Z183" s="397"/>
      <c r="AA183" s="397"/>
      <c r="AB183" s="397"/>
      <c r="AC183" s="397"/>
      <c r="AD183" s="397"/>
      <c r="AE183" s="397"/>
      <c r="AF183" s="397"/>
      <c r="AG183" s="397"/>
      <c r="AH183" s="397"/>
      <c r="AI183" s="397"/>
      <c r="AJ183" s="397"/>
      <c r="AK183" s="397"/>
      <c r="AL183" s="397"/>
      <c r="AM183" s="397"/>
      <c r="AN183" s="397"/>
      <c r="AO183" s="397"/>
      <c r="AP183" s="397"/>
      <c r="AQ183" s="397"/>
      <c r="AR183" s="397"/>
      <c r="AS183" s="397"/>
      <c r="AT183" s="397"/>
      <c r="AU183" s="397"/>
      <c r="AV183" s="397"/>
      <c r="AW183" s="397"/>
      <c r="AX183" s="397"/>
      <c r="AY183" s="397"/>
      <c r="AZ183" s="397"/>
      <c r="BA183" s="397"/>
      <c r="BB183" s="397"/>
      <c r="BC183" s="397"/>
      <c r="BD183" s="397"/>
      <c r="BE183" s="397"/>
      <c r="BF183" s="397"/>
      <c r="BG183" s="397"/>
      <c r="BH183" s="397"/>
      <c r="BI183" s="397"/>
      <c r="BJ183" s="397"/>
      <c r="BK183" s="397"/>
      <c r="BL183" s="397"/>
      <c r="BM183" s="397"/>
      <c r="BN183" s="397"/>
    </row>
    <row r="184" spans="5:66" ht="14.25">
      <c r="E184" s="397"/>
      <c r="F184" s="397"/>
      <c r="G184" s="397"/>
      <c r="H184" s="397"/>
      <c r="I184" s="397"/>
      <c r="J184" s="397"/>
      <c r="K184" s="397"/>
      <c r="L184" s="397"/>
      <c r="M184" s="397"/>
      <c r="N184" s="397"/>
      <c r="O184" s="397"/>
      <c r="P184" s="397"/>
      <c r="Q184" s="397"/>
      <c r="R184" s="397"/>
      <c r="S184" s="397"/>
      <c r="T184" s="397"/>
      <c r="U184" s="397"/>
      <c r="V184" s="397"/>
      <c r="W184" s="397"/>
      <c r="X184" s="397"/>
      <c r="Y184" s="397"/>
      <c r="Z184" s="397"/>
      <c r="AA184" s="397"/>
      <c r="AB184" s="397"/>
      <c r="AC184" s="397"/>
      <c r="AD184" s="397"/>
      <c r="AE184" s="397"/>
      <c r="AF184" s="397"/>
      <c r="AG184" s="397"/>
      <c r="AH184" s="397"/>
      <c r="AI184" s="397"/>
      <c r="AJ184" s="397"/>
      <c r="AK184" s="397"/>
      <c r="AL184" s="397"/>
      <c r="AM184" s="397"/>
      <c r="AN184" s="397"/>
      <c r="AO184" s="397"/>
      <c r="AP184" s="397"/>
      <c r="AQ184" s="397"/>
      <c r="AR184" s="397"/>
      <c r="AS184" s="397"/>
      <c r="AT184" s="397"/>
      <c r="AU184" s="397"/>
      <c r="AV184" s="397"/>
      <c r="AW184" s="397"/>
      <c r="AX184" s="397"/>
      <c r="AY184" s="397"/>
      <c r="AZ184" s="397"/>
      <c r="BA184" s="397"/>
      <c r="BB184" s="397"/>
      <c r="BC184" s="397"/>
      <c r="BD184" s="397"/>
      <c r="BE184" s="397"/>
      <c r="BF184" s="397"/>
      <c r="BG184" s="397"/>
      <c r="BH184" s="397"/>
      <c r="BI184" s="397"/>
      <c r="BJ184" s="397"/>
      <c r="BK184" s="397"/>
      <c r="BL184" s="397"/>
      <c r="BM184" s="397"/>
      <c r="BN184" s="397"/>
    </row>
    <row r="185" spans="5:66" ht="14.25">
      <c r="E185" s="397"/>
      <c r="F185" s="397"/>
      <c r="G185" s="397"/>
      <c r="H185" s="397"/>
      <c r="I185" s="397"/>
      <c r="J185" s="397"/>
      <c r="K185" s="397"/>
      <c r="L185" s="397"/>
      <c r="M185" s="397"/>
      <c r="N185" s="397"/>
      <c r="O185" s="397"/>
      <c r="P185" s="397"/>
      <c r="Q185" s="397"/>
      <c r="R185" s="397"/>
      <c r="S185" s="397"/>
      <c r="T185" s="397"/>
      <c r="U185" s="397"/>
      <c r="V185" s="397"/>
      <c r="W185" s="397"/>
      <c r="X185" s="397"/>
      <c r="Y185" s="397"/>
      <c r="Z185" s="397"/>
      <c r="AA185" s="397"/>
      <c r="AB185" s="397"/>
      <c r="AC185" s="397"/>
      <c r="AD185" s="397"/>
      <c r="AE185" s="397"/>
      <c r="AF185" s="397"/>
      <c r="AG185" s="397"/>
      <c r="AH185" s="397"/>
      <c r="AI185" s="397"/>
      <c r="AJ185" s="397"/>
      <c r="AK185" s="397"/>
      <c r="AL185" s="397"/>
      <c r="AM185" s="397"/>
      <c r="AN185" s="397"/>
      <c r="AO185" s="397"/>
      <c r="AP185" s="397"/>
      <c r="AQ185" s="397"/>
      <c r="AR185" s="397"/>
      <c r="AS185" s="397"/>
      <c r="AT185" s="397"/>
      <c r="AU185" s="397"/>
      <c r="AV185" s="397"/>
      <c r="AW185" s="397"/>
      <c r="AX185" s="397"/>
      <c r="AY185" s="397"/>
      <c r="AZ185" s="397"/>
      <c r="BA185" s="397"/>
      <c r="BB185" s="397"/>
      <c r="BC185" s="397"/>
      <c r="BD185" s="397"/>
      <c r="BE185" s="397"/>
      <c r="BF185" s="397"/>
      <c r="BG185" s="397"/>
      <c r="BH185" s="397"/>
      <c r="BI185" s="397"/>
      <c r="BJ185" s="397"/>
      <c r="BK185" s="397"/>
      <c r="BL185" s="397"/>
      <c r="BM185" s="397"/>
      <c r="BN185" s="397"/>
    </row>
    <row r="186" spans="5:66" ht="14.25">
      <c r="E186" s="397"/>
      <c r="F186" s="397"/>
      <c r="G186" s="397"/>
      <c r="H186" s="397"/>
      <c r="I186" s="397"/>
      <c r="J186" s="397"/>
      <c r="K186" s="397"/>
      <c r="L186" s="397"/>
      <c r="M186" s="397"/>
      <c r="N186" s="397"/>
      <c r="O186" s="397"/>
      <c r="P186" s="397"/>
      <c r="Q186" s="397"/>
      <c r="R186" s="397"/>
      <c r="S186" s="397"/>
      <c r="T186" s="397"/>
      <c r="U186" s="397"/>
      <c r="V186" s="397"/>
      <c r="W186" s="397"/>
      <c r="X186" s="397"/>
      <c r="Y186" s="397"/>
      <c r="Z186" s="397"/>
      <c r="AA186" s="397"/>
      <c r="AB186" s="397"/>
      <c r="AC186" s="397"/>
      <c r="AD186" s="397"/>
      <c r="AE186" s="397"/>
      <c r="AF186" s="397"/>
      <c r="AG186" s="397"/>
      <c r="AH186" s="397"/>
      <c r="AI186" s="397"/>
      <c r="AJ186" s="397"/>
      <c r="AK186" s="397"/>
      <c r="AL186" s="397"/>
      <c r="AM186" s="397"/>
      <c r="AN186" s="397"/>
      <c r="AO186" s="397"/>
      <c r="AP186" s="397"/>
      <c r="AQ186" s="397"/>
      <c r="AR186" s="397"/>
      <c r="AS186" s="397"/>
      <c r="AT186" s="397"/>
      <c r="AU186" s="397"/>
      <c r="AV186" s="397"/>
      <c r="AW186" s="397"/>
      <c r="AX186" s="397"/>
      <c r="AY186" s="397"/>
      <c r="AZ186" s="397"/>
      <c r="BA186" s="397"/>
      <c r="BB186" s="397"/>
      <c r="BC186" s="397"/>
      <c r="BD186" s="397"/>
      <c r="BE186" s="397"/>
      <c r="BF186" s="397"/>
      <c r="BG186" s="397"/>
      <c r="BH186" s="397"/>
      <c r="BI186" s="397"/>
      <c r="BJ186" s="397"/>
      <c r="BK186" s="397"/>
      <c r="BL186" s="397"/>
      <c r="BM186" s="397"/>
      <c r="BN186" s="397"/>
    </row>
    <row r="187" spans="5:66" ht="14.25">
      <c r="E187" s="397"/>
      <c r="F187" s="397"/>
      <c r="G187" s="397"/>
      <c r="H187" s="397"/>
      <c r="I187" s="397"/>
      <c r="J187" s="397"/>
      <c r="K187" s="397"/>
      <c r="L187" s="397"/>
      <c r="M187" s="397"/>
      <c r="N187" s="397"/>
      <c r="O187" s="397"/>
      <c r="P187" s="397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397"/>
      <c r="AB187" s="397"/>
      <c r="AC187" s="397"/>
      <c r="AD187" s="397"/>
      <c r="AE187" s="397"/>
      <c r="AF187" s="397"/>
      <c r="AG187" s="397"/>
      <c r="AH187" s="397"/>
      <c r="AI187" s="397"/>
      <c r="AJ187" s="397"/>
      <c r="AK187" s="397"/>
      <c r="AL187" s="397"/>
      <c r="AM187" s="397"/>
      <c r="AN187" s="397"/>
      <c r="AO187" s="397"/>
      <c r="AP187" s="397"/>
      <c r="AQ187" s="397"/>
      <c r="AR187" s="397"/>
      <c r="AS187" s="397"/>
      <c r="AT187" s="397"/>
      <c r="AU187" s="397"/>
      <c r="AV187" s="397"/>
      <c r="AW187" s="397"/>
      <c r="AX187" s="397"/>
      <c r="AY187" s="397"/>
      <c r="AZ187" s="397"/>
      <c r="BA187" s="397"/>
      <c r="BB187" s="397"/>
      <c r="BC187" s="397"/>
      <c r="BD187" s="397"/>
      <c r="BE187" s="397"/>
      <c r="BF187" s="397"/>
      <c r="BG187" s="397"/>
      <c r="BH187" s="397"/>
      <c r="BI187" s="397"/>
      <c r="BJ187" s="397"/>
      <c r="BK187" s="397"/>
      <c r="BL187" s="397"/>
      <c r="BM187" s="397"/>
      <c r="BN187" s="397"/>
    </row>
    <row r="188" spans="5:66" ht="14.25">
      <c r="E188" s="397"/>
      <c r="F188" s="397"/>
      <c r="G188" s="397"/>
      <c r="H188" s="397"/>
      <c r="I188" s="397"/>
      <c r="J188" s="397"/>
      <c r="K188" s="397"/>
      <c r="L188" s="397"/>
      <c r="M188" s="397"/>
      <c r="N188" s="397"/>
      <c r="O188" s="397"/>
      <c r="P188" s="397"/>
      <c r="Q188" s="397"/>
      <c r="R188" s="397"/>
      <c r="S188" s="397"/>
      <c r="T188" s="397"/>
      <c r="U188" s="397"/>
      <c r="V188" s="397"/>
      <c r="W188" s="397"/>
      <c r="X188" s="397"/>
      <c r="Y188" s="397"/>
      <c r="Z188" s="397"/>
      <c r="AA188" s="397"/>
      <c r="AB188" s="397"/>
      <c r="AC188" s="397"/>
      <c r="AD188" s="397"/>
      <c r="AE188" s="397"/>
      <c r="AF188" s="397"/>
      <c r="AG188" s="397"/>
      <c r="AH188" s="397"/>
      <c r="AI188" s="397"/>
      <c r="AJ188" s="397"/>
      <c r="AK188" s="397"/>
      <c r="AL188" s="397"/>
      <c r="AM188" s="397"/>
      <c r="AN188" s="397"/>
      <c r="AO188" s="397"/>
      <c r="AP188" s="397"/>
      <c r="AQ188" s="397"/>
      <c r="AR188" s="397"/>
      <c r="AS188" s="397"/>
      <c r="AT188" s="397"/>
      <c r="AU188" s="397"/>
      <c r="AV188" s="397"/>
      <c r="AW188" s="397"/>
      <c r="AX188" s="397"/>
      <c r="AY188" s="397"/>
      <c r="AZ188" s="397"/>
      <c r="BA188" s="397"/>
      <c r="BB188" s="397"/>
      <c r="BC188" s="397"/>
      <c r="BD188" s="397"/>
      <c r="BE188" s="397"/>
      <c r="BF188" s="397"/>
      <c r="BG188" s="397"/>
      <c r="BH188" s="397"/>
      <c r="BI188" s="397"/>
      <c r="BJ188" s="397"/>
      <c r="BK188" s="397"/>
      <c r="BL188" s="397"/>
      <c r="BM188" s="397"/>
      <c r="BN188" s="397"/>
    </row>
    <row r="189" spans="5:66" ht="14.25">
      <c r="E189" s="397"/>
      <c r="F189" s="397"/>
      <c r="G189" s="397"/>
      <c r="H189" s="397"/>
      <c r="I189" s="397"/>
      <c r="J189" s="397"/>
      <c r="K189" s="397"/>
      <c r="L189" s="397"/>
      <c r="M189" s="397"/>
      <c r="N189" s="397"/>
      <c r="O189" s="397"/>
      <c r="P189" s="397"/>
      <c r="Q189" s="397"/>
      <c r="R189" s="397"/>
      <c r="S189" s="397"/>
      <c r="T189" s="397"/>
      <c r="U189" s="397"/>
      <c r="V189" s="397"/>
      <c r="W189" s="397"/>
      <c r="X189" s="397"/>
      <c r="Y189" s="397"/>
      <c r="Z189" s="397"/>
      <c r="AA189" s="397"/>
      <c r="AB189" s="397"/>
      <c r="AC189" s="397"/>
      <c r="AD189" s="397"/>
      <c r="AE189" s="397"/>
      <c r="AF189" s="397"/>
      <c r="AG189" s="397"/>
      <c r="AH189" s="397"/>
      <c r="AI189" s="397"/>
      <c r="AJ189" s="397"/>
      <c r="AK189" s="397"/>
      <c r="AL189" s="397"/>
      <c r="AM189" s="397"/>
      <c r="AN189" s="397"/>
      <c r="AO189" s="397"/>
      <c r="AP189" s="397"/>
      <c r="AQ189" s="397"/>
      <c r="AR189" s="397"/>
      <c r="AS189" s="397"/>
      <c r="AT189" s="397"/>
      <c r="AU189" s="397"/>
      <c r="AV189" s="397"/>
      <c r="AW189" s="397"/>
      <c r="AX189" s="397"/>
      <c r="AY189" s="397"/>
      <c r="AZ189" s="397"/>
      <c r="BA189" s="397"/>
      <c r="BB189" s="397"/>
      <c r="BC189" s="397"/>
      <c r="BD189" s="397"/>
      <c r="BE189" s="397"/>
      <c r="BF189" s="397"/>
      <c r="BG189" s="397"/>
      <c r="BH189" s="397"/>
      <c r="BI189" s="397"/>
      <c r="BJ189" s="397"/>
      <c r="BK189" s="397"/>
      <c r="BL189" s="397"/>
      <c r="BM189" s="397"/>
      <c r="BN189" s="397"/>
    </row>
    <row r="190" spans="5:66" ht="14.25">
      <c r="E190" s="397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7"/>
      <c r="R190" s="397"/>
      <c r="S190" s="397"/>
      <c r="T190" s="397"/>
      <c r="U190" s="397"/>
      <c r="V190" s="397"/>
      <c r="W190" s="397"/>
      <c r="X190" s="397"/>
      <c r="Y190" s="397"/>
      <c r="Z190" s="397"/>
      <c r="AA190" s="397"/>
      <c r="AB190" s="397"/>
      <c r="AC190" s="397"/>
      <c r="AD190" s="397"/>
      <c r="AE190" s="397"/>
      <c r="AF190" s="397"/>
      <c r="AG190" s="397"/>
      <c r="AH190" s="397"/>
      <c r="AI190" s="397"/>
      <c r="AJ190" s="397"/>
      <c r="AK190" s="397"/>
      <c r="AL190" s="397"/>
      <c r="AM190" s="397"/>
      <c r="AN190" s="397"/>
      <c r="AO190" s="397"/>
      <c r="AP190" s="397"/>
      <c r="AQ190" s="397"/>
      <c r="AR190" s="397"/>
      <c r="AS190" s="397"/>
      <c r="AT190" s="397"/>
      <c r="AU190" s="397"/>
      <c r="AV190" s="397"/>
      <c r="AW190" s="397"/>
      <c r="AX190" s="397"/>
      <c r="AY190" s="397"/>
      <c r="AZ190" s="397"/>
      <c r="BA190" s="397"/>
      <c r="BB190" s="397"/>
      <c r="BC190" s="397"/>
      <c r="BD190" s="397"/>
      <c r="BE190" s="397"/>
      <c r="BF190" s="397"/>
      <c r="BG190" s="397"/>
      <c r="BH190" s="397"/>
      <c r="BI190" s="397"/>
      <c r="BJ190" s="397"/>
      <c r="BK190" s="397"/>
      <c r="BL190" s="397"/>
      <c r="BM190" s="397"/>
      <c r="BN190" s="397"/>
    </row>
    <row r="191" spans="5:66" ht="14.25">
      <c r="E191" s="397"/>
      <c r="F191" s="397"/>
      <c r="G191" s="397"/>
      <c r="H191" s="397"/>
      <c r="I191" s="397"/>
      <c r="J191" s="397"/>
      <c r="K191" s="397"/>
      <c r="L191" s="397"/>
      <c r="M191" s="397"/>
      <c r="N191" s="397"/>
      <c r="O191" s="397"/>
      <c r="P191" s="397"/>
      <c r="Q191" s="397"/>
      <c r="R191" s="397"/>
      <c r="S191" s="397"/>
      <c r="T191" s="397"/>
      <c r="U191" s="397"/>
      <c r="V191" s="397"/>
      <c r="W191" s="397"/>
      <c r="X191" s="397"/>
      <c r="Y191" s="397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/>
      <c r="AJ191" s="397"/>
      <c r="AK191" s="397"/>
      <c r="AL191" s="397"/>
      <c r="AM191" s="397"/>
      <c r="AN191" s="397"/>
      <c r="AO191" s="397"/>
      <c r="AP191" s="397"/>
      <c r="AQ191" s="397"/>
      <c r="AR191" s="397"/>
      <c r="AS191" s="397"/>
      <c r="AT191" s="397"/>
      <c r="AU191" s="397"/>
      <c r="AV191" s="397"/>
      <c r="AW191" s="397"/>
      <c r="AX191" s="397"/>
      <c r="AY191" s="397"/>
      <c r="AZ191" s="397"/>
      <c r="BA191" s="397"/>
      <c r="BB191" s="397"/>
      <c r="BC191" s="397"/>
      <c r="BD191" s="397"/>
      <c r="BE191" s="397"/>
      <c r="BF191" s="397"/>
      <c r="BG191" s="397"/>
      <c r="BH191" s="397"/>
      <c r="BI191" s="397"/>
      <c r="BJ191" s="397"/>
      <c r="BK191" s="397"/>
      <c r="BL191" s="397"/>
      <c r="BM191" s="397"/>
      <c r="BN191" s="397"/>
    </row>
    <row r="192" spans="5:66" ht="14.25">
      <c r="E192" s="397"/>
      <c r="F192" s="397"/>
      <c r="G192" s="397"/>
      <c r="H192" s="397"/>
      <c r="I192" s="397"/>
      <c r="J192" s="397"/>
      <c r="K192" s="397"/>
      <c r="L192" s="397"/>
      <c r="M192" s="397"/>
      <c r="N192" s="397"/>
      <c r="O192" s="397"/>
      <c r="P192" s="397"/>
      <c r="Q192" s="397"/>
      <c r="R192" s="397"/>
      <c r="S192" s="397"/>
      <c r="T192" s="397"/>
      <c r="U192" s="397"/>
      <c r="V192" s="397"/>
      <c r="W192" s="397"/>
      <c r="X192" s="397"/>
      <c r="Y192" s="397"/>
      <c r="Z192" s="397"/>
      <c r="AA192" s="397"/>
      <c r="AB192" s="397"/>
      <c r="AC192" s="397"/>
      <c r="AD192" s="397"/>
      <c r="AE192" s="397"/>
      <c r="AF192" s="397"/>
      <c r="AG192" s="397"/>
      <c r="AH192" s="397"/>
      <c r="AI192" s="397"/>
      <c r="AJ192" s="397"/>
      <c r="AK192" s="397"/>
      <c r="AL192" s="397"/>
      <c r="AM192" s="397"/>
      <c r="AN192" s="397"/>
      <c r="AO192" s="397"/>
      <c r="AP192" s="397"/>
      <c r="AQ192" s="397"/>
      <c r="AR192" s="397"/>
      <c r="AS192" s="397"/>
      <c r="AT192" s="397"/>
      <c r="AU192" s="397"/>
      <c r="AV192" s="397"/>
      <c r="AW192" s="397"/>
      <c r="AX192" s="397"/>
      <c r="AY192" s="397"/>
      <c r="AZ192" s="397"/>
      <c r="BA192" s="397"/>
      <c r="BB192" s="397"/>
      <c r="BC192" s="397"/>
      <c r="BD192" s="397"/>
      <c r="BE192" s="397"/>
      <c r="BF192" s="397"/>
      <c r="BG192" s="397"/>
      <c r="BH192" s="397"/>
      <c r="BI192" s="397"/>
      <c r="BJ192" s="397"/>
      <c r="BK192" s="397"/>
      <c r="BL192" s="397"/>
      <c r="BM192" s="397"/>
      <c r="BN192" s="397"/>
    </row>
    <row r="193" spans="5:66" ht="14.25">
      <c r="E193" s="397"/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  <c r="P193" s="397"/>
      <c r="Q193" s="397"/>
      <c r="R193" s="397"/>
      <c r="S193" s="397"/>
      <c r="T193" s="397"/>
      <c r="U193" s="397"/>
      <c r="V193" s="397"/>
      <c r="W193" s="397"/>
      <c r="X193" s="397"/>
      <c r="Y193" s="397"/>
      <c r="Z193" s="397"/>
      <c r="AA193" s="397"/>
      <c r="AB193" s="397"/>
      <c r="AC193" s="397"/>
      <c r="AD193" s="397"/>
      <c r="AE193" s="397"/>
      <c r="AF193" s="397"/>
      <c r="AG193" s="397"/>
      <c r="AH193" s="397"/>
      <c r="AI193" s="397"/>
      <c r="AJ193" s="397"/>
      <c r="AK193" s="397"/>
      <c r="AL193" s="397"/>
      <c r="AM193" s="397"/>
      <c r="AN193" s="397"/>
      <c r="AO193" s="397"/>
      <c r="AP193" s="397"/>
      <c r="AQ193" s="397"/>
      <c r="AR193" s="397"/>
      <c r="AS193" s="397"/>
      <c r="AT193" s="397"/>
      <c r="AU193" s="397"/>
      <c r="AV193" s="397"/>
      <c r="AW193" s="397"/>
      <c r="AX193" s="397"/>
      <c r="AY193" s="397"/>
      <c r="AZ193" s="397"/>
      <c r="BA193" s="397"/>
      <c r="BB193" s="397"/>
      <c r="BC193" s="397"/>
      <c r="BD193" s="397"/>
      <c r="BE193" s="397"/>
      <c r="BF193" s="397"/>
      <c r="BG193" s="397"/>
      <c r="BH193" s="397"/>
      <c r="BI193" s="397"/>
      <c r="BJ193" s="397"/>
      <c r="BK193" s="397"/>
      <c r="BL193" s="397"/>
      <c r="BM193" s="397"/>
      <c r="BN193" s="397"/>
    </row>
    <row r="194" spans="5:66" ht="14.25">
      <c r="E194" s="397"/>
      <c r="F194" s="397"/>
      <c r="G194" s="397"/>
      <c r="H194" s="397"/>
      <c r="I194" s="397"/>
      <c r="J194" s="397"/>
      <c r="K194" s="397"/>
      <c r="L194" s="397"/>
      <c r="M194" s="397"/>
      <c r="N194" s="397"/>
      <c r="O194" s="397"/>
      <c r="P194" s="397"/>
      <c r="Q194" s="397"/>
      <c r="R194" s="397"/>
      <c r="S194" s="397"/>
      <c r="T194" s="397"/>
      <c r="U194" s="397"/>
      <c r="V194" s="397"/>
      <c r="W194" s="397"/>
      <c r="X194" s="397"/>
      <c r="Y194" s="397"/>
      <c r="Z194" s="397"/>
      <c r="AA194" s="397"/>
      <c r="AB194" s="397"/>
      <c r="AC194" s="397"/>
      <c r="AD194" s="397"/>
      <c r="AE194" s="397"/>
      <c r="AF194" s="397"/>
      <c r="AG194" s="397"/>
      <c r="AH194" s="397"/>
      <c r="AI194" s="397"/>
      <c r="AJ194" s="397"/>
      <c r="AK194" s="397"/>
      <c r="AL194" s="397"/>
      <c r="AM194" s="397"/>
      <c r="AN194" s="397"/>
      <c r="AO194" s="397"/>
      <c r="AP194" s="397"/>
      <c r="AQ194" s="397"/>
      <c r="AR194" s="397"/>
      <c r="AS194" s="397"/>
      <c r="AT194" s="397"/>
      <c r="AU194" s="397"/>
      <c r="AV194" s="397"/>
      <c r="AW194" s="397"/>
      <c r="AX194" s="397"/>
      <c r="AY194" s="397"/>
      <c r="AZ194" s="397"/>
      <c r="BA194" s="397"/>
      <c r="BB194" s="397"/>
      <c r="BC194" s="397"/>
      <c r="BD194" s="397"/>
      <c r="BE194" s="397"/>
      <c r="BF194" s="397"/>
      <c r="BG194" s="397"/>
      <c r="BH194" s="397"/>
      <c r="BI194" s="397"/>
      <c r="BJ194" s="397"/>
      <c r="BK194" s="397"/>
      <c r="BL194" s="397"/>
      <c r="BM194" s="397"/>
      <c r="BN194" s="397"/>
    </row>
    <row r="195" spans="5:66" ht="14.25">
      <c r="E195" s="397"/>
      <c r="F195" s="397"/>
      <c r="G195" s="397"/>
      <c r="H195" s="397"/>
      <c r="I195" s="397"/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397"/>
      <c r="V195" s="397"/>
      <c r="W195" s="397"/>
      <c r="X195" s="397"/>
      <c r="Y195" s="397"/>
      <c r="Z195" s="397"/>
      <c r="AA195" s="397"/>
      <c r="AB195" s="397"/>
      <c r="AC195" s="397"/>
      <c r="AD195" s="397"/>
      <c r="AE195" s="397"/>
      <c r="AF195" s="397"/>
      <c r="AG195" s="397"/>
      <c r="AH195" s="397"/>
      <c r="AI195" s="397"/>
      <c r="AJ195" s="397"/>
      <c r="AK195" s="397"/>
      <c r="AL195" s="397"/>
      <c r="AM195" s="397"/>
      <c r="AN195" s="397"/>
      <c r="AO195" s="397"/>
      <c r="AP195" s="397"/>
      <c r="AQ195" s="397"/>
      <c r="AR195" s="397"/>
      <c r="AS195" s="397"/>
      <c r="AT195" s="397"/>
      <c r="AU195" s="397"/>
      <c r="AV195" s="397"/>
      <c r="AW195" s="397"/>
      <c r="AX195" s="397"/>
      <c r="AY195" s="397"/>
      <c r="AZ195" s="397"/>
      <c r="BA195" s="397"/>
      <c r="BB195" s="397"/>
      <c r="BC195" s="397"/>
      <c r="BD195" s="397"/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</row>
    <row r="196" spans="5:66" ht="14.25"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97"/>
      <c r="Y196" s="397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/>
      <c r="AJ196" s="397"/>
      <c r="AK196" s="397"/>
      <c r="AL196" s="397"/>
      <c r="AM196" s="397"/>
      <c r="AN196" s="397"/>
      <c r="AO196" s="397"/>
      <c r="AP196" s="397"/>
      <c r="AQ196" s="397"/>
      <c r="AR196" s="397"/>
      <c r="AS196" s="397"/>
      <c r="AT196" s="397"/>
      <c r="AU196" s="397"/>
      <c r="AV196" s="397"/>
      <c r="AW196" s="397"/>
      <c r="AX196" s="397"/>
      <c r="AY196" s="397"/>
      <c r="AZ196" s="397"/>
      <c r="BA196" s="397"/>
      <c r="BB196" s="397"/>
      <c r="BC196" s="397"/>
      <c r="BD196" s="397"/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</row>
    <row r="197" spans="5:66" ht="14.25">
      <c r="E197" s="397"/>
      <c r="F197" s="397"/>
      <c r="G197" s="397"/>
      <c r="H197" s="397"/>
      <c r="I197" s="397"/>
      <c r="J197" s="397"/>
      <c r="K197" s="397"/>
      <c r="L197" s="397"/>
      <c r="M197" s="397"/>
      <c r="N197" s="397"/>
      <c r="O197" s="397"/>
      <c r="P197" s="397"/>
      <c r="Q197" s="397"/>
      <c r="R197" s="397"/>
      <c r="S197" s="397"/>
      <c r="T197" s="397"/>
      <c r="U197" s="397"/>
      <c r="V197" s="397"/>
      <c r="W197" s="397"/>
      <c r="X197" s="397"/>
      <c r="Y197" s="397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/>
      <c r="AJ197" s="397"/>
      <c r="AK197" s="397"/>
      <c r="AL197" s="397"/>
      <c r="AM197" s="397"/>
      <c r="AN197" s="397"/>
      <c r="AO197" s="397"/>
      <c r="AP197" s="397"/>
      <c r="AQ197" s="397"/>
      <c r="AR197" s="397"/>
      <c r="AS197" s="397"/>
      <c r="AT197" s="397"/>
      <c r="AU197" s="397"/>
      <c r="AV197" s="397"/>
      <c r="AW197" s="397"/>
      <c r="AX197" s="397"/>
      <c r="AY197" s="397"/>
      <c r="AZ197" s="397"/>
      <c r="BA197" s="397"/>
      <c r="BB197" s="397"/>
      <c r="BC197" s="397"/>
      <c r="BD197" s="397"/>
      <c r="BE197" s="397"/>
      <c r="BF197" s="397"/>
      <c r="BG197" s="397"/>
      <c r="BH197" s="397"/>
      <c r="BI197" s="397"/>
      <c r="BJ197" s="397"/>
      <c r="BK197" s="397"/>
      <c r="BL197" s="397"/>
      <c r="BM197" s="397"/>
      <c r="BN197" s="397"/>
    </row>
    <row r="198" spans="5:66" ht="14.25">
      <c r="E198" s="397"/>
      <c r="F198" s="397"/>
      <c r="G198" s="397"/>
      <c r="H198" s="397"/>
      <c r="I198" s="397"/>
      <c r="J198" s="397"/>
      <c r="K198" s="397"/>
      <c r="L198" s="397"/>
      <c r="M198" s="397"/>
      <c r="N198" s="397"/>
      <c r="O198" s="397"/>
      <c r="P198" s="397"/>
      <c r="Q198" s="397"/>
      <c r="R198" s="397"/>
      <c r="S198" s="397"/>
      <c r="T198" s="397"/>
      <c r="U198" s="397"/>
      <c r="V198" s="397"/>
      <c r="W198" s="397"/>
      <c r="X198" s="397"/>
      <c r="Y198" s="397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/>
      <c r="AJ198" s="397"/>
      <c r="AK198" s="397"/>
      <c r="AL198" s="397"/>
      <c r="AM198" s="397"/>
      <c r="AN198" s="397"/>
      <c r="AO198" s="397"/>
      <c r="AP198" s="397"/>
      <c r="AQ198" s="397"/>
      <c r="AR198" s="397"/>
      <c r="AS198" s="397"/>
      <c r="AT198" s="397"/>
      <c r="AU198" s="397"/>
      <c r="AV198" s="397"/>
      <c r="AW198" s="397"/>
      <c r="AX198" s="397"/>
      <c r="AY198" s="397"/>
      <c r="AZ198" s="397"/>
      <c r="BA198" s="397"/>
      <c r="BB198" s="397"/>
      <c r="BC198" s="397"/>
      <c r="BD198" s="397"/>
      <c r="BE198" s="397"/>
      <c r="BF198" s="397"/>
      <c r="BG198" s="397"/>
      <c r="BH198" s="397"/>
      <c r="BI198" s="397"/>
      <c r="BJ198" s="397"/>
      <c r="BK198" s="397"/>
      <c r="BL198" s="397"/>
      <c r="BM198" s="397"/>
      <c r="BN198" s="397"/>
    </row>
    <row r="199" spans="5:66" ht="14.25">
      <c r="E199" s="397"/>
      <c r="F199" s="397"/>
      <c r="G199" s="397"/>
      <c r="H199" s="397"/>
      <c r="I199" s="397"/>
      <c r="J199" s="397"/>
      <c r="K199" s="397"/>
      <c r="L199" s="397"/>
      <c r="M199" s="397"/>
      <c r="N199" s="397"/>
      <c r="O199" s="397"/>
      <c r="P199" s="397"/>
      <c r="Q199" s="397"/>
      <c r="R199" s="397"/>
      <c r="S199" s="397"/>
      <c r="T199" s="397"/>
      <c r="U199" s="397"/>
      <c r="V199" s="397"/>
      <c r="W199" s="397"/>
      <c r="X199" s="397"/>
      <c r="Y199" s="397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/>
      <c r="AJ199" s="397"/>
      <c r="AK199" s="397"/>
      <c r="AL199" s="397"/>
      <c r="AM199" s="397"/>
      <c r="AN199" s="397"/>
      <c r="AO199" s="397"/>
      <c r="AP199" s="397"/>
      <c r="AQ199" s="397"/>
      <c r="AR199" s="397"/>
      <c r="AS199" s="397"/>
      <c r="AT199" s="397"/>
      <c r="AU199" s="397"/>
      <c r="AV199" s="397"/>
      <c r="AW199" s="397"/>
      <c r="AX199" s="397"/>
      <c r="AY199" s="397"/>
      <c r="AZ199" s="397"/>
      <c r="BA199" s="397"/>
      <c r="BB199" s="397"/>
      <c r="BC199" s="397"/>
      <c r="BD199" s="397"/>
      <c r="BE199" s="397"/>
      <c r="BF199" s="397"/>
      <c r="BG199" s="397"/>
      <c r="BH199" s="397"/>
      <c r="BI199" s="397"/>
      <c r="BJ199" s="397"/>
      <c r="BK199" s="397"/>
      <c r="BL199" s="397"/>
      <c r="BM199" s="397"/>
      <c r="BN199" s="397"/>
    </row>
    <row r="200" spans="5:66" ht="14.25">
      <c r="E200" s="397"/>
      <c r="F200" s="397"/>
      <c r="G200" s="397"/>
      <c r="H200" s="397"/>
      <c r="I200" s="397"/>
      <c r="J200" s="397"/>
      <c r="K200" s="397"/>
      <c r="L200" s="397"/>
      <c r="M200" s="397"/>
      <c r="N200" s="397"/>
      <c r="O200" s="397"/>
      <c r="P200" s="397"/>
      <c r="Q200" s="397"/>
      <c r="R200" s="397"/>
      <c r="S200" s="397"/>
      <c r="T200" s="397"/>
      <c r="U200" s="397"/>
      <c r="V200" s="397"/>
      <c r="W200" s="397"/>
      <c r="X200" s="397"/>
      <c r="Y200" s="397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/>
      <c r="AJ200" s="397"/>
      <c r="AK200" s="397"/>
      <c r="AL200" s="397"/>
      <c r="AM200" s="397"/>
      <c r="AN200" s="397"/>
      <c r="AO200" s="397"/>
      <c r="AP200" s="397"/>
      <c r="AQ200" s="397"/>
      <c r="AR200" s="397"/>
      <c r="AS200" s="397"/>
      <c r="AT200" s="397"/>
      <c r="AU200" s="397"/>
      <c r="AV200" s="397"/>
      <c r="AW200" s="397"/>
      <c r="AX200" s="397"/>
      <c r="AY200" s="397"/>
      <c r="AZ200" s="397"/>
      <c r="BA200" s="397"/>
      <c r="BB200" s="397"/>
      <c r="BC200" s="397"/>
      <c r="BD200" s="397"/>
      <c r="BE200" s="397"/>
      <c r="BF200" s="397"/>
      <c r="BG200" s="397"/>
      <c r="BH200" s="397"/>
      <c r="BI200" s="397"/>
      <c r="BJ200" s="397"/>
      <c r="BK200" s="397"/>
      <c r="BL200" s="397"/>
      <c r="BM200" s="397"/>
      <c r="BN200" s="397"/>
    </row>
    <row r="201" spans="5:66" ht="14.25">
      <c r="E201" s="397"/>
      <c r="F201" s="397"/>
      <c r="G201" s="397"/>
      <c r="H201" s="397"/>
      <c r="I201" s="397"/>
      <c r="J201" s="397"/>
      <c r="K201" s="397"/>
      <c r="L201" s="397"/>
      <c r="M201" s="397"/>
      <c r="N201" s="397"/>
      <c r="O201" s="397"/>
      <c r="P201" s="397"/>
      <c r="Q201" s="397"/>
      <c r="R201" s="397"/>
      <c r="S201" s="397"/>
      <c r="T201" s="397"/>
      <c r="U201" s="397"/>
      <c r="V201" s="397"/>
      <c r="W201" s="397"/>
      <c r="X201" s="397"/>
      <c r="Y201" s="397"/>
      <c r="Z201" s="397"/>
      <c r="AA201" s="397"/>
      <c r="AB201" s="397"/>
      <c r="AC201" s="397"/>
      <c r="AD201" s="397"/>
      <c r="AE201" s="397"/>
      <c r="AF201" s="397"/>
      <c r="AG201" s="397"/>
      <c r="AH201" s="397"/>
      <c r="AI201" s="397"/>
      <c r="AJ201" s="397"/>
      <c r="AK201" s="397"/>
      <c r="AL201" s="397"/>
      <c r="AM201" s="397"/>
      <c r="AN201" s="397"/>
      <c r="AO201" s="397"/>
      <c r="AP201" s="397"/>
      <c r="AQ201" s="397"/>
      <c r="AR201" s="397"/>
      <c r="AS201" s="397"/>
      <c r="AT201" s="397"/>
      <c r="AU201" s="397"/>
      <c r="AV201" s="397"/>
      <c r="AW201" s="397"/>
      <c r="AX201" s="397"/>
      <c r="AY201" s="397"/>
      <c r="AZ201" s="397"/>
      <c r="BA201" s="397"/>
      <c r="BB201" s="397"/>
      <c r="BC201" s="397"/>
      <c r="BD201" s="397"/>
      <c r="BE201" s="397"/>
      <c r="BF201" s="397"/>
      <c r="BG201" s="397"/>
      <c r="BH201" s="397"/>
      <c r="BI201" s="397"/>
      <c r="BJ201" s="397"/>
      <c r="BK201" s="397"/>
      <c r="BL201" s="397"/>
      <c r="BM201" s="397"/>
      <c r="BN201" s="397"/>
    </row>
    <row r="202" spans="5:66" ht="14.25"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397"/>
      <c r="V202" s="397"/>
      <c r="W202" s="397"/>
      <c r="X202" s="397"/>
      <c r="Y202" s="397"/>
      <c r="Z202" s="397"/>
      <c r="AA202" s="397"/>
      <c r="AB202" s="397"/>
      <c r="AC202" s="397"/>
      <c r="AD202" s="397"/>
      <c r="AE202" s="397"/>
      <c r="AF202" s="397"/>
      <c r="AG202" s="397"/>
      <c r="AH202" s="397"/>
      <c r="AI202" s="397"/>
      <c r="AJ202" s="397"/>
      <c r="AK202" s="397"/>
      <c r="AL202" s="397"/>
      <c r="AM202" s="397"/>
      <c r="AN202" s="397"/>
      <c r="AO202" s="397"/>
      <c r="AP202" s="397"/>
      <c r="AQ202" s="397"/>
      <c r="AR202" s="397"/>
      <c r="AS202" s="397"/>
      <c r="AT202" s="397"/>
      <c r="AU202" s="397"/>
      <c r="AV202" s="397"/>
      <c r="AW202" s="397"/>
      <c r="AX202" s="397"/>
      <c r="AY202" s="397"/>
      <c r="AZ202" s="397"/>
      <c r="BA202" s="397"/>
      <c r="BB202" s="397"/>
      <c r="BC202" s="397"/>
      <c r="BD202" s="397"/>
      <c r="BE202" s="397"/>
      <c r="BF202" s="397"/>
      <c r="BG202" s="397"/>
      <c r="BH202" s="397"/>
      <c r="BI202" s="397"/>
      <c r="BJ202" s="397"/>
      <c r="BK202" s="397"/>
      <c r="BL202" s="397"/>
      <c r="BM202" s="397"/>
      <c r="BN202" s="397"/>
    </row>
    <row r="203" spans="5:66" ht="14.25">
      <c r="E203" s="397"/>
      <c r="F203" s="397"/>
      <c r="G203" s="397"/>
      <c r="H203" s="397"/>
      <c r="I203" s="397"/>
      <c r="J203" s="397"/>
      <c r="K203" s="397"/>
      <c r="L203" s="397"/>
      <c r="M203" s="397"/>
      <c r="N203" s="397"/>
      <c r="O203" s="397"/>
      <c r="P203" s="397"/>
      <c r="Q203" s="397"/>
      <c r="R203" s="397"/>
      <c r="S203" s="397"/>
      <c r="T203" s="397"/>
      <c r="U203" s="397"/>
      <c r="V203" s="397"/>
      <c r="W203" s="397"/>
      <c r="X203" s="397"/>
      <c r="Y203" s="397"/>
      <c r="Z203" s="397"/>
      <c r="AA203" s="397"/>
      <c r="AB203" s="397"/>
      <c r="AC203" s="397"/>
      <c r="AD203" s="397"/>
      <c r="AE203" s="397"/>
      <c r="AF203" s="397"/>
      <c r="AG203" s="397"/>
      <c r="AH203" s="397"/>
      <c r="AI203" s="397"/>
      <c r="AJ203" s="397"/>
      <c r="AK203" s="397"/>
      <c r="AL203" s="397"/>
      <c r="AM203" s="397"/>
      <c r="AN203" s="397"/>
      <c r="AO203" s="397"/>
      <c r="AP203" s="397"/>
      <c r="AQ203" s="397"/>
      <c r="AR203" s="397"/>
      <c r="AS203" s="397"/>
      <c r="AT203" s="397"/>
      <c r="AU203" s="397"/>
      <c r="AV203" s="397"/>
      <c r="AW203" s="397"/>
      <c r="AX203" s="397"/>
      <c r="AY203" s="397"/>
      <c r="AZ203" s="397"/>
      <c r="BA203" s="397"/>
      <c r="BB203" s="397"/>
      <c r="BC203" s="397"/>
      <c r="BD203" s="397"/>
      <c r="BE203" s="397"/>
      <c r="BF203" s="397"/>
      <c r="BG203" s="397"/>
      <c r="BH203" s="397"/>
      <c r="BI203" s="397"/>
      <c r="BJ203" s="397"/>
      <c r="BK203" s="397"/>
      <c r="BL203" s="397"/>
      <c r="BM203" s="397"/>
      <c r="BN203" s="397"/>
    </row>
    <row r="204" spans="5:66" ht="14.25">
      <c r="E204" s="397"/>
      <c r="F204" s="397"/>
      <c r="G204" s="397"/>
      <c r="H204" s="397"/>
      <c r="I204" s="397"/>
      <c r="J204" s="397"/>
      <c r="K204" s="397"/>
      <c r="L204" s="397"/>
      <c r="M204" s="397"/>
      <c r="N204" s="397"/>
      <c r="O204" s="397"/>
      <c r="P204" s="397"/>
      <c r="Q204" s="397"/>
      <c r="R204" s="397"/>
      <c r="S204" s="397"/>
      <c r="T204" s="397"/>
      <c r="U204" s="397"/>
      <c r="V204" s="397"/>
      <c r="W204" s="397"/>
      <c r="X204" s="397"/>
      <c r="Y204" s="397"/>
      <c r="Z204" s="397"/>
      <c r="AA204" s="397"/>
      <c r="AB204" s="397"/>
      <c r="AC204" s="397"/>
      <c r="AD204" s="397"/>
      <c r="AE204" s="397"/>
      <c r="AF204" s="397"/>
      <c r="AG204" s="397"/>
      <c r="AH204" s="397"/>
      <c r="AI204" s="397"/>
      <c r="AJ204" s="397"/>
      <c r="AK204" s="397"/>
      <c r="AL204" s="397"/>
      <c r="AM204" s="397"/>
      <c r="AN204" s="397"/>
      <c r="AO204" s="397"/>
      <c r="AP204" s="397"/>
      <c r="AQ204" s="397"/>
      <c r="AR204" s="397"/>
      <c r="AS204" s="397"/>
      <c r="AT204" s="397"/>
      <c r="AU204" s="397"/>
      <c r="AV204" s="397"/>
      <c r="AW204" s="397"/>
      <c r="AX204" s="397"/>
      <c r="AY204" s="397"/>
      <c r="AZ204" s="397"/>
      <c r="BA204" s="397"/>
      <c r="BB204" s="397"/>
      <c r="BC204" s="397"/>
      <c r="BD204" s="397"/>
      <c r="BE204" s="397"/>
      <c r="BF204" s="397"/>
      <c r="BG204" s="397"/>
      <c r="BH204" s="397"/>
      <c r="BI204" s="397"/>
      <c r="BJ204" s="397"/>
      <c r="BK204" s="397"/>
      <c r="BL204" s="397"/>
      <c r="BM204" s="397"/>
      <c r="BN204" s="397"/>
    </row>
    <row r="205" spans="5:66" ht="14.25">
      <c r="E205" s="397"/>
      <c r="F205" s="397"/>
      <c r="G205" s="397"/>
      <c r="H205" s="397"/>
      <c r="I205" s="397"/>
      <c r="J205" s="397"/>
      <c r="K205" s="397"/>
      <c r="L205" s="397"/>
      <c r="M205" s="397"/>
      <c r="N205" s="397"/>
      <c r="O205" s="397"/>
      <c r="P205" s="397"/>
      <c r="Q205" s="397"/>
      <c r="R205" s="397"/>
      <c r="S205" s="397"/>
      <c r="T205" s="397"/>
      <c r="U205" s="397"/>
      <c r="V205" s="397"/>
      <c r="W205" s="397"/>
      <c r="X205" s="397"/>
      <c r="Y205" s="397"/>
      <c r="Z205" s="397"/>
      <c r="AA205" s="397"/>
      <c r="AB205" s="397"/>
      <c r="AC205" s="397"/>
      <c r="AD205" s="397"/>
      <c r="AE205" s="397"/>
      <c r="AF205" s="397"/>
      <c r="AG205" s="397"/>
      <c r="AH205" s="397"/>
      <c r="AI205" s="397"/>
      <c r="AJ205" s="397"/>
      <c r="AK205" s="397"/>
      <c r="AL205" s="397"/>
      <c r="AM205" s="397"/>
      <c r="AN205" s="397"/>
      <c r="AO205" s="397"/>
      <c r="AP205" s="397"/>
      <c r="AQ205" s="397"/>
      <c r="AR205" s="397"/>
      <c r="AS205" s="397"/>
      <c r="AT205" s="397"/>
      <c r="AU205" s="397"/>
      <c r="AV205" s="397"/>
      <c r="AW205" s="397"/>
      <c r="AX205" s="397"/>
      <c r="AY205" s="397"/>
      <c r="AZ205" s="397"/>
      <c r="BA205" s="397"/>
      <c r="BB205" s="397"/>
      <c r="BC205" s="397"/>
      <c r="BD205" s="397"/>
      <c r="BE205" s="397"/>
      <c r="BF205" s="397"/>
      <c r="BG205" s="397"/>
      <c r="BH205" s="397"/>
      <c r="BI205" s="397"/>
      <c r="BJ205" s="397"/>
      <c r="BK205" s="397"/>
      <c r="BL205" s="397"/>
      <c r="BM205" s="397"/>
      <c r="BN205" s="397"/>
    </row>
    <row r="206" spans="5:66" ht="14.25">
      <c r="E206" s="397"/>
      <c r="F206" s="397"/>
      <c r="G206" s="397"/>
      <c r="H206" s="397"/>
      <c r="I206" s="397"/>
      <c r="J206" s="397"/>
      <c r="K206" s="397"/>
      <c r="L206" s="397"/>
      <c r="M206" s="397"/>
      <c r="N206" s="397"/>
      <c r="O206" s="397"/>
      <c r="P206" s="397"/>
      <c r="Q206" s="397"/>
      <c r="R206" s="397"/>
      <c r="S206" s="397"/>
      <c r="T206" s="397"/>
      <c r="U206" s="397"/>
      <c r="V206" s="397"/>
      <c r="W206" s="397"/>
      <c r="X206" s="397"/>
      <c r="Y206" s="397"/>
      <c r="Z206" s="397"/>
      <c r="AA206" s="397"/>
      <c r="AB206" s="397"/>
      <c r="AC206" s="397"/>
      <c r="AD206" s="397"/>
      <c r="AE206" s="397"/>
      <c r="AF206" s="397"/>
      <c r="AG206" s="397"/>
      <c r="AH206" s="397"/>
      <c r="AI206" s="397"/>
      <c r="AJ206" s="397"/>
      <c r="AK206" s="397"/>
      <c r="AL206" s="397"/>
      <c r="AM206" s="397"/>
      <c r="AN206" s="397"/>
      <c r="AO206" s="397"/>
      <c r="AP206" s="397"/>
      <c r="AQ206" s="397"/>
      <c r="AR206" s="397"/>
      <c r="AS206" s="397"/>
      <c r="AT206" s="397"/>
      <c r="AU206" s="397"/>
      <c r="AV206" s="397"/>
      <c r="AW206" s="397"/>
      <c r="AX206" s="397"/>
      <c r="AY206" s="397"/>
      <c r="AZ206" s="397"/>
      <c r="BA206" s="397"/>
      <c r="BB206" s="397"/>
      <c r="BC206" s="397"/>
      <c r="BD206" s="397"/>
      <c r="BE206" s="397"/>
      <c r="BF206" s="397"/>
      <c r="BG206" s="397"/>
      <c r="BH206" s="397"/>
      <c r="BI206" s="397"/>
      <c r="BJ206" s="397"/>
      <c r="BK206" s="397"/>
      <c r="BL206" s="397"/>
      <c r="BM206" s="397"/>
      <c r="BN206" s="397"/>
    </row>
    <row r="207" spans="5:66" ht="14.25">
      <c r="E207" s="397"/>
      <c r="F207" s="397"/>
      <c r="G207" s="397"/>
      <c r="H207" s="397"/>
      <c r="I207" s="397"/>
      <c r="J207" s="397"/>
      <c r="K207" s="397"/>
      <c r="L207" s="397"/>
      <c r="M207" s="397"/>
      <c r="N207" s="397"/>
      <c r="O207" s="397"/>
      <c r="P207" s="397"/>
      <c r="Q207" s="397"/>
      <c r="R207" s="397"/>
      <c r="S207" s="397"/>
      <c r="T207" s="397"/>
      <c r="U207" s="397"/>
      <c r="V207" s="397"/>
      <c r="W207" s="397"/>
      <c r="X207" s="397"/>
      <c r="Y207" s="397"/>
      <c r="Z207" s="397"/>
      <c r="AA207" s="397"/>
      <c r="AB207" s="397"/>
      <c r="AC207" s="397"/>
      <c r="AD207" s="397"/>
      <c r="AE207" s="397"/>
      <c r="AF207" s="397"/>
      <c r="AG207" s="397"/>
      <c r="AH207" s="397"/>
      <c r="AI207" s="397"/>
      <c r="AJ207" s="397"/>
      <c r="AK207" s="397"/>
      <c r="AL207" s="397"/>
      <c r="AM207" s="397"/>
      <c r="AN207" s="397"/>
      <c r="AO207" s="397"/>
      <c r="AP207" s="397"/>
      <c r="AQ207" s="397"/>
      <c r="AR207" s="397"/>
      <c r="AS207" s="397"/>
      <c r="AT207" s="397"/>
      <c r="AU207" s="397"/>
      <c r="AV207" s="397"/>
      <c r="AW207" s="397"/>
      <c r="AX207" s="397"/>
      <c r="AY207" s="397"/>
      <c r="AZ207" s="397"/>
      <c r="BA207" s="397"/>
      <c r="BB207" s="397"/>
      <c r="BC207" s="397"/>
      <c r="BD207" s="397"/>
      <c r="BE207" s="397"/>
      <c r="BF207" s="397"/>
      <c r="BG207" s="397"/>
      <c r="BH207" s="397"/>
      <c r="BI207" s="397"/>
      <c r="BJ207" s="397"/>
      <c r="BK207" s="397"/>
      <c r="BL207" s="397"/>
      <c r="BM207" s="397"/>
      <c r="BN207" s="397"/>
    </row>
    <row r="208" spans="5:66" ht="14.25">
      <c r="E208" s="397"/>
      <c r="F208" s="397"/>
      <c r="G208" s="397"/>
      <c r="H208" s="397"/>
      <c r="I208" s="397"/>
      <c r="J208" s="397"/>
      <c r="K208" s="397"/>
      <c r="L208" s="397"/>
      <c r="M208" s="397"/>
      <c r="N208" s="397"/>
      <c r="O208" s="397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397"/>
      <c r="AH208" s="397"/>
      <c r="AI208" s="397"/>
      <c r="AJ208" s="397"/>
      <c r="AK208" s="397"/>
      <c r="AL208" s="397"/>
      <c r="AM208" s="397"/>
      <c r="AN208" s="397"/>
      <c r="AO208" s="397"/>
      <c r="AP208" s="397"/>
      <c r="AQ208" s="397"/>
      <c r="AR208" s="397"/>
      <c r="AS208" s="397"/>
      <c r="AT208" s="397"/>
      <c r="AU208" s="397"/>
      <c r="AV208" s="397"/>
      <c r="AW208" s="397"/>
      <c r="AX208" s="397"/>
      <c r="AY208" s="397"/>
      <c r="AZ208" s="397"/>
      <c r="BA208" s="397"/>
      <c r="BB208" s="397"/>
      <c r="BC208" s="397"/>
      <c r="BD208" s="397"/>
      <c r="BE208" s="397"/>
      <c r="BF208" s="397"/>
      <c r="BG208" s="397"/>
      <c r="BH208" s="397"/>
      <c r="BI208" s="397"/>
      <c r="BJ208" s="397"/>
      <c r="BK208" s="397"/>
      <c r="BL208" s="397"/>
      <c r="BM208" s="397"/>
      <c r="BN208" s="397"/>
    </row>
    <row r="209" spans="5:66" ht="14.25"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7"/>
      <c r="R209" s="397"/>
      <c r="S209" s="397"/>
      <c r="T209" s="397"/>
      <c r="U209" s="397"/>
      <c r="V209" s="397"/>
      <c r="W209" s="397"/>
      <c r="X209" s="397"/>
      <c r="Y209" s="397"/>
      <c r="Z209" s="397"/>
      <c r="AA209" s="397"/>
      <c r="AB209" s="397"/>
      <c r="AC209" s="397"/>
      <c r="AD209" s="397"/>
      <c r="AE209" s="397"/>
      <c r="AF209" s="397"/>
      <c r="AG209" s="397"/>
      <c r="AH209" s="397"/>
      <c r="AI209" s="397"/>
      <c r="AJ209" s="397"/>
      <c r="AK209" s="397"/>
      <c r="AL209" s="397"/>
      <c r="AM209" s="397"/>
      <c r="AN209" s="397"/>
      <c r="AO209" s="397"/>
      <c r="AP209" s="397"/>
      <c r="AQ209" s="397"/>
      <c r="AR209" s="397"/>
      <c r="AS209" s="397"/>
      <c r="AT209" s="397"/>
      <c r="AU209" s="397"/>
      <c r="AV209" s="397"/>
      <c r="AW209" s="397"/>
      <c r="AX209" s="397"/>
      <c r="AY209" s="397"/>
      <c r="AZ209" s="397"/>
      <c r="BA209" s="397"/>
      <c r="BB209" s="397"/>
      <c r="BC209" s="397"/>
      <c r="BD209" s="397"/>
      <c r="BE209" s="397"/>
      <c r="BF209" s="397"/>
      <c r="BG209" s="397"/>
      <c r="BH209" s="397"/>
      <c r="BI209" s="397"/>
      <c r="BJ209" s="397"/>
      <c r="BK209" s="397"/>
      <c r="BL209" s="397"/>
      <c r="BM209" s="397"/>
      <c r="BN209" s="397"/>
    </row>
    <row r="210" spans="5:66" ht="14.25">
      <c r="E210" s="397"/>
      <c r="F210" s="397"/>
      <c r="G210" s="397"/>
      <c r="H210" s="397"/>
      <c r="I210" s="397"/>
      <c r="J210" s="397"/>
      <c r="K210" s="397"/>
      <c r="L210" s="397"/>
      <c r="M210" s="397"/>
      <c r="N210" s="397"/>
      <c r="O210" s="397"/>
      <c r="P210" s="397"/>
      <c r="Q210" s="397"/>
      <c r="R210" s="397"/>
      <c r="S210" s="397"/>
      <c r="T210" s="397"/>
      <c r="U210" s="397"/>
      <c r="V210" s="397"/>
      <c r="W210" s="397"/>
      <c r="X210" s="397"/>
      <c r="Y210" s="397"/>
      <c r="Z210" s="397"/>
      <c r="AA210" s="397"/>
      <c r="AB210" s="397"/>
      <c r="AC210" s="397"/>
      <c r="AD210" s="397"/>
      <c r="AE210" s="397"/>
      <c r="AF210" s="397"/>
      <c r="AG210" s="397"/>
      <c r="AH210" s="397"/>
      <c r="AI210" s="397"/>
      <c r="AJ210" s="397"/>
      <c r="AK210" s="397"/>
      <c r="AL210" s="397"/>
      <c r="AM210" s="397"/>
      <c r="AN210" s="397"/>
      <c r="AO210" s="397"/>
      <c r="AP210" s="397"/>
      <c r="AQ210" s="397"/>
      <c r="AR210" s="397"/>
      <c r="AS210" s="397"/>
      <c r="AT210" s="397"/>
      <c r="AU210" s="397"/>
      <c r="AV210" s="397"/>
      <c r="AW210" s="397"/>
      <c r="AX210" s="397"/>
      <c r="AY210" s="397"/>
      <c r="AZ210" s="397"/>
      <c r="BA210" s="397"/>
      <c r="BB210" s="397"/>
      <c r="BC210" s="397"/>
      <c r="BD210" s="397"/>
      <c r="BE210" s="397"/>
      <c r="BF210" s="397"/>
      <c r="BG210" s="397"/>
      <c r="BH210" s="397"/>
      <c r="BI210" s="397"/>
      <c r="BJ210" s="397"/>
      <c r="BK210" s="397"/>
      <c r="BL210" s="397"/>
      <c r="BM210" s="397"/>
      <c r="BN210" s="397"/>
    </row>
    <row r="211" spans="5:66" ht="14.25">
      <c r="E211" s="397"/>
      <c r="F211" s="397"/>
      <c r="G211" s="397"/>
      <c r="H211" s="397"/>
      <c r="I211" s="397"/>
      <c r="J211" s="397"/>
      <c r="K211" s="397"/>
      <c r="L211" s="397"/>
      <c r="M211" s="397"/>
      <c r="N211" s="397"/>
      <c r="O211" s="397"/>
      <c r="P211" s="397"/>
      <c r="Q211" s="397"/>
      <c r="R211" s="397"/>
      <c r="S211" s="397"/>
      <c r="T211" s="397"/>
      <c r="U211" s="397"/>
      <c r="V211" s="397"/>
      <c r="W211" s="397"/>
      <c r="X211" s="397"/>
      <c r="Y211" s="397"/>
      <c r="Z211" s="397"/>
      <c r="AA211" s="397"/>
      <c r="AB211" s="397"/>
      <c r="AC211" s="397"/>
      <c r="AD211" s="397"/>
      <c r="AE211" s="397"/>
      <c r="AF211" s="397"/>
      <c r="AG211" s="397"/>
      <c r="AH211" s="397"/>
      <c r="AI211" s="397"/>
      <c r="AJ211" s="397"/>
      <c r="AK211" s="397"/>
      <c r="AL211" s="397"/>
      <c r="AM211" s="397"/>
      <c r="AN211" s="397"/>
      <c r="AO211" s="397"/>
      <c r="AP211" s="397"/>
      <c r="AQ211" s="397"/>
      <c r="AR211" s="397"/>
      <c r="AS211" s="397"/>
      <c r="AT211" s="397"/>
      <c r="AU211" s="397"/>
      <c r="AV211" s="397"/>
      <c r="AW211" s="397"/>
      <c r="AX211" s="397"/>
      <c r="AY211" s="397"/>
      <c r="AZ211" s="397"/>
      <c r="BA211" s="397"/>
      <c r="BB211" s="397"/>
      <c r="BC211" s="397"/>
      <c r="BD211" s="397"/>
      <c r="BE211" s="397"/>
      <c r="BF211" s="397"/>
      <c r="BG211" s="397"/>
      <c r="BH211" s="397"/>
      <c r="BI211" s="397"/>
      <c r="BJ211" s="397"/>
      <c r="BK211" s="397"/>
      <c r="BL211" s="397"/>
      <c r="BM211" s="397"/>
      <c r="BN211" s="397"/>
    </row>
    <row r="212" spans="5:66" ht="14.25">
      <c r="E212" s="397"/>
      <c r="F212" s="397"/>
      <c r="G212" s="397"/>
      <c r="H212" s="397"/>
      <c r="I212" s="397"/>
      <c r="J212" s="397"/>
      <c r="K212" s="397"/>
      <c r="L212" s="397"/>
      <c r="M212" s="397"/>
      <c r="N212" s="397"/>
      <c r="O212" s="397"/>
      <c r="P212" s="397"/>
      <c r="Q212" s="397"/>
      <c r="R212" s="397"/>
      <c r="S212" s="397"/>
      <c r="T212" s="397"/>
      <c r="U212" s="397"/>
      <c r="V212" s="397"/>
      <c r="W212" s="397"/>
      <c r="X212" s="397"/>
      <c r="Y212" s="397"/>
      <c r="Z212" s="397"/>
      <c r="AA212" s="397"/>
      <c r="AB212" s="397"/>
      <c r="AC212" s="397"/>
      <c r="AD212" s="397"/>
      <c r="AE212" s="397"/>
      <c r="AF212" s="397"/>
      <c r="AG212" s="397"/>
      <c r="AH212" s="397"/>
      <c r="AI212" s="397"/>
      <c r="AJ212" s="397"/>
      <c r="AK212" s="397"/>
      <c r="AL212" s="397"/>
      <c r="AM212" s="397"/>
      <c r="AN212" s="397"/>
      <c r="AO212" s="397"/>
      <c r="AP212" s="397"/>
      <c r="AQ212" s="397"/>
      <c r="AR212" s="397"/>
      <c r="AS212" s="397"/>
      <c r="AT212" s="397"/>
      <c r="AU212" s="397"/>
      <c r="AV212" s="397"/>
      <c r="AW212" s="397"/>
      <c r="AX212" s="397"/>
      <c r="AY212" s="397"/>
      <c r="AZ212" s="397"/>
      <c r="BA212" s="397"/>
      <c r="BB212" s="397"/>
      <c r="BC212" s="397"/>
      <c r="BD212" s="397"/>
      <c r="BE212" s="397"/>
      <c r="BF212" s="397"/>
      <c r="BG212" s="397"/>
      <c r="BH212" s="397"/>
      <c r="BI212" s="397"/>
      <c r="BJ212" s="397"/>
      <c r="BK212" s="397"/>
      <c r="BL212" s="397"/>
      <c r="BM212" s="397"/>
      <c r="BN212" s="397"/>
    </row>
    <row r="213" spans="5:66" ht="14.25">
      <c r="E213" s="397"/>
      <c r="F213" s="397"/>
      <c r="G213" s="397"/>
      <c r="H213" s="397"/>
      <c r="I213" s="397"/>
      <c r="J213" s="397"/>
      <c r="K213" s="397"/>
      <c r="L213" s="397"/>
      <c r="M213" s="397"/>
      <c r="N213" s="397"/>
      <c r="O213" s="397"/>
      <c r="P213" s="397"/>
      <c r="Q213" s="397"/>
      <c r="R213" s="397"/>
      <c r="S213" s="397"/>
      <c r="T213" s="397"/>
      <c r="U213" s="397"/>
      <c r="V213" s="397"/>
      <c r="W213" s="397"/>
      <c r="X213" s="397"/>
      <c r="Y213" s="397"/>
      <c r="Z213" s="397"/>
      <c r="AA213" s="397"/>
      <c r="AB213" s="397"/>
      <c r="AC213" s="397"/>
      <c r="AD213" s="397"/>
      <c r="AE213" s="397"/>
      <c r="AF213" s="397"/>
      <c r="AG213" s="397"/>
      <c r="AH213" s="397"/>
      <c r="AI213" s="397"/>
      <c r="AJ213" s="397"/>
      <c r="AK213" s="397"/>
      <c r="AL213" s="397"/>
      <c r="AM213" s="397"/>
      <c r="AN213" s="397"/>
      <c r="AO213" s="397"/>
      <c r="AP213" s="397"/>
      <c r="AQ213" s="397"/>
      <c r="AR213" s="397"/>
      <c r="AS213" s="397"/>
      <c r="AT213" s="397"/>
      <c r="AU213" s="397"/>
      <c r="AV213" s="397"/>
      <c r="AW213" s="397"/>
      <c r="AX213" s="397"/>
      <c r="AY213" s="397"/>
      <c r="AZ213" s="397"/>
      <c r="BA213" s="397"/>
      <c r="BB213" s="397"/>
      <c r="BC213" s="397"/>
      <c r="BD213" s="397"/>
      <c r="BE213" s="397"/>
      <c r="BF213" s="397"/>
      <c r="BG213" s="397"/>
      <c r="BH213" s="397"/>
      <c r="BI213" s="397"/>
      <c r="BJ213" s="397"/>
      <c r="BK213" s="397"/>
      <c r="BL213" s="397"/>
      <c r="BM213" s="397"/>
      <c r="BN213" s="397"/>
    </row>
    <row r="214" spans="5:66" ht="14.25">
      <c r="E214" s="397"/>
      <c r="F214" s="397"/>
      <c r="G214" s="397"/>
      <c r="H214" s="397"/>
      <c r="I214" s="397"/>
      <c r="J214" s="397"/>
      <c r="K214" s="397"/>
      <c r="L214" s="397"/>
      <c r="M214" s="397"/>
      <c r="N214" s="397"/>
      <c r="O214" s="397"/>
      <c r="P214" s="397"/>
      <c r="Q214" s="397"/>
      <c r="R214" s="397"/>
      <c r="S214" s="397"/>
      <c r="T214" s="397"/>
      <c r="U214" s="397"/>
      <c r="V214" s="397"/>
      <c r="W214" s="397"/>
      <c r="X214" s="397"/>
      <c r="Y214" s="397"/>
      <c r="Z214" s="397"/>
      <c r="AA214" s="397"/>
      <c r="AB214" s="397"/>
      <c r="AC214" s="397"/>
      <c r="AD214" s="397"/>
      <c r="AE214" s="397"/>
      <c r="AF214" s="397"/>
      <c r="AG214" s="397"/>
      <c r="AH214" s="397"/>
      <c r="AI214" s="397"/>
      <c r="AJ214" s="397"/>
      <c r="AK214" s="397"/>
      <c r="AL214" s="397"/>
      <c r="AM214" s="397"/>
      <c r="AN214" s="397"/>
      <c r="AO214" s="397"/>
      <c r="AP214" s="397"/>
      <c r="AQ214" s="397"/>
      <c r="AR214" s="397"/>
      <c r="AS214" s="397"/>
      <c r="AT214" s="397"/>
      <c r="AU214" s="397"/>
      <c r="AV214" s="397"/>
      <c r="AW214" s="397"/>
      <c r="AX214" s="397"/>
      <c r="AY214" s="397"/>
      <c r="AZ214" s="397"/>
      <c r="BA214" s="397"/>
      <c r="BB214" s="397"/>
      <c r="BC214" s="397"/>
      <c r="BD214" s="397"/>
      <c r="BE214" s="397"/>
      <c r="BF214" s="397"/>
      <c r="BG214" s="397"/>
      <c r="BH214" s="397"/>
      <c r="BI214" s="397"/>
      <c r="BJ214" s="397"/>
      <c r="BK214" s="397"/>
      <c r="BL214" s="397"/>
      <c r="BM214" s="397"/>
      <c r="BN214" s="397"/>
    </row>
    <row r="215" spans="5:66" ht="14.25">
      <c r="E215" s="397"/>
      <c r="F215" s="397"/>
      <c r="G215" s="397"/>
      <c r="H215" s="397"/>
      <c r="I215" s="397"/>
      <c r="J215" s="397"/>
      <c r="K215" s="397"/>
      <c r="L215" s="397"/>
      <c r="M215" s="397"/>
      <c r="N215" s="397"/>
      <c r="O215" s="397"/>
      <c r="P215" s="397"/>
      <c r="Q215" s="397"/>
      <c r="R215" s="397"/>
      <c r="S215" s="397"/>
      <c r="T215" s="397"/>
      <c r="U215" s="397"/>
      <c r="V215" s="397"/>
      <c r="W215" s="397"/>
      <c r="X215" s="397"/>
      <c r="Y215" s="397"/>
      <c r="Z215" s="397"/>
      <c r="AA215" s="397"/>
      <c r="AB215" s="397"/>
      <c r="AC215" s="397"/>
      <c r="AD215" s="397"/>
      <c r="AE215" s="397"/>
      <c r="AF215" s="397"/>
      <c r="AG215" s="397"/>
      <c r="AH215" s="397"/>
      <c r="AI215" s="397"/>
      <c r="AJ215" s="397"/>
      <c r="AK215" s="397"/>
      <c r="AL215" s="397"/>
      <c r="AM215" s="397"/>
      <c r="AN215" s="397"/>
      <c r="AO215" s="397"/>
      <c r="AP215" s="397"/>
      <c r="AQ215" s="397"/>
      <c r="AR215" s="397"/>
      <c r="AS215" s="397"/>
      <c r="AT215" s="397"/>
      <c r="AU215" s="397"/>
      <c r="AV215" s="397"/>
      <c r="AW215" s="397"/>
      <c r="AX215" s="397"/>
      <c r="AY215" s="397"/>
      <c r="AZ215" s="397"/>
      <c r="BA215" s="397"/>
      <c r="BB215" s="397"/>
      <c r="BC215" s="397"/>
      <c r="BD215" s="397"/>
      <c r="BE215" s="397"/>
      <c r="BF215" s="397"/>
      <c r="BG215" s="397"/>
      <c r="BH215" s="397"/>
      <c r="BI215" s="397"/>
      <c r="BJ215" s="397"/>
      <c r="BK215" s="397"/>
      <c r="BL215" s="397"/>
      <c r="BM215" s="397"/>
      <c r="BN215" s="397"/>
    </row>
    <row r="216" spans="5:66" ht="14.25">
      <c r="E216" s="397"/>
      <c r="F216" s="397"/>
      <c r="G216" s="397"/>
      <c r="H216" s="397"/>
      <c r="I216" s="397"/>
      <c r="J216" s="397"/>
      <c r="K216" s="397"/>
      <c r="L216" s="397"/>
      <c r="M216" s="397"/>
      <c r="N216" s="397"/>
      <c r="O216" s="397"/>
      <c r="P216" s="397"/>
      <c r="Q216" s="397"/>
      <c r="R216" s="397"/>
      <c r="S216" s="397"/>
      <c r="T216" s="397"/>
      <c r="U216" s="397"/>
      <c r="V216" s="397"/>
      <c r="W216" s="397"/>
      <c r="X216" s="397"/>
      <c r="Y216" s="397"/>
      <c r="Z216" s="397"/>
      <c r="AA216" s="397"/>
      <c r="AB216" s="397"/>
      <c r="AC216" s="397"/>
      <c r="AD216" s="397"/>
      <c r="AE216" s="397"/>
      <c r="AF216" s="397"/>
      <c r="AG216" s="397"/>
      <c r="AH216" s="397"/>
      <c r="AI216" s="397"/>
      <c r="AJ216" s="397"/>
      <c r="AK216" s="397"/>
      <c r="AL216" s="397"/>
      <c r="AM216" s="397"/>
      <c r="AN216" s="397"/>
      <c r="AO216" s="397"/>
      <c r="AP216" s="397"/>
      <c r="AQ216" s="397"/>
      <c r="AR216" s="397"/>
      <c r="AS216" s="397"/>
      <c r="AT216" s="397"/>
      <c r="AU216" s="397"/>
      <c r="AV216" s="397"/>
      <c r="AW216" s="397"/>
      <c r="AX216" s="397"/>
      <c r="AY216" s="397"/>
      <c r="AZ216" s="397"/>
      <c r="BA216" s="397"/>
      <c r="BB216" s="397"/>
      <c r="BC216" s="397"/>
      <c r="BD216" s="397"/>
      <c r="BE216" s="397"/>
      <c r="BF216" s="397"/>
      <c r="BG216" s="397"/>
      <c r="BH216" s="397"/>
      <c r="BI216" s="397"/>
      <c r="BJ216" s="397"/>
      <c r="BK216" s="397"/>
      <c r="BL216" s="397"/>
      <c r="BM216" s="397"/>
      <c r="BN216" s="397"/>
    </row>
    <row r="217" spans="5:66" ht="14.25">
      <c r="E217" s="397"/>
      <c r="F217" s="397"/>
      <c r="G217" s="397"/>
      <c r="H217" s="397"/>
      <c r="I217" s="397"/>
      <c r="J217" s="397"/>
      <c r="K217" s="397"/>
      <c r="L217" s="397"/>
      <c r="M217" s="397"/>
      <c r="N217" s="397"/>
      <c r="O217" s="397"/>
      <c r="P217" s="397"/>
      <c r="Q217" s="397"/>
      <c r="R217" s="397"/>
      <c r="S217" s="397"/>
      <c r="T217" s="397"/>
      <c r="U217" s="397"/>
      <c r="V217" s="397"/>
      <c r="W217" s="397"/>
      <c r="X217" s="397"/>
      <c r="Y217" s="397"/>
      <c r="Z217" s="397"/>
      <c r="AA217" s="397"/>
      <c r="AB217" s="397"/>
      <c r="AC217" s="397"/>
      <c r="AD217" s="397"/>
      <c r="AE217" s="397"/>
      <c r="AF217" s="397"/>
      <c r="AG217" s="397"/>
      <c r="AH217" s="397"/>
      <c r="AI217" s="397"/>
      <c r="AJ217" s="397"/>
      <c r="AK217" s="397"/>
      <c r="AL217" s="397"/>
      <c r="AM217" s="397"/>
      <c r="AN217" s="397"/>
      <c r="AO217" s="397"/>
      <c r="AP217" s="397"/>
      <c r="AQ217" s="397"/>
      <c r="AR217" s="397"/>
      <c r="AS217" s="397"/>
      <c r="AT217" s="397"/>
      <c r="AU217" s="397"/>
      <c r="AV217" s="397"/>
      <c r="AW217" s="397"/>
      <c r="AX217" s="397"/>
      <c r="AY217" s="397"/>
      <c r="AZ217" s="397"/>
      <c r="BA217" s="397"/>
      <c r="BB217" s="397"/>
      <c r="BC217" s="397"/>
      <c r="BD217" s="397"/>
      <c r="BE217" s="397"/>
      <c r="BF217" s="397"/>
      <c r="BG217" s="397"/>
      <c r="BH217" s="397"/>
      <c r="BI217" s="397"/>
      <c r="BJ217" s="397"/>
      <c r="BK217" s="397"/>
      <c r="BL217" s="397"/>
      <c r="BM217" s="397"/>
      <c r="BN217" s="397"/>
    </row>
    <row r="218" spans="5:66" ht="14.25">
      <c r="E218" s="397"/>
      <c r="F218" s="397"/>
      <c r="G218" s="397"/>
      <c r="H218" s="397"/>
      <c r="I218" s="397"/>
      <c r="J218" s="397"/>
      <c r="K218" s="397"/>
      <c r="L218" s="397"/>
      <c r="M218" s="397"/>
      <c r="N218" s="397"/>
      <c r="O218" s="397"/>
      <c r="P218" s="397"/>
      <c r="Q218" s="397"/>
      <c r="R218" s="397"/>
      <c r="S218" s="397"/>
      <c r="T218" s="397"/>
      <c r="U218" s="397"/>
      <c r="V218" s="397"/>
      <c r="W218" s="397"/>
      <c r="X218" s="397"/>
      <c r="Y218" s="397"/>
      <c r="Z218" s="397"/>
      <c r="AA218" s="397"/>
      <c r="AB218" s="397"/>
      <c r="AC218" s="397"/>
      <c r="AD218" s="397"/>
      <c r="AE218" s="397"/>
      <c r="AF218" s="397"/>
      <c r="AG218" s="397"/>
      <c r="AH218" s="397"/>
      <c r="AI218" s="397"/>
      <c r="AJ218" s="397"/>
      <c r="AK218" s="397"/>
      <c r="AL218" s="397"/>
      <c r="AM218" s="397"/>
      <c r="AN218" s="397"/>
      <c r="AO218" s="397"/>
      <c r="AP218" s="397"/>
      <c r="AQ218" s="397"/>
      <c r="AR218" s="397"/>
      <c r="AS218" s="397"/>
      <c r="AT218" s="397"/>
      <c r="AU218" s="397"/>
      <c r="AV218" s="397"/>
      <c r="AW218" s="397"/>
      <c r="AX218" s="397"/>
      <c r="AY218" s="397"/>
      <c r="AZ218" s="397"/>
      <c r="BA218" s="397"/>
      <c r="BB218" s="397"/>
      <c r="BC218" s="397"/>
      <c r="BD218" s="397"/>
      <c r="BE218" s="397"/>
      <c r="BF218" s="397"/>
      <c r="BG218" s="397"/>
      <c r="BH218" s="397"/>
      <c r="BI218" s="397"/>
      <c r="BJ218" s="397"/>
      <c r="BK218" s="397"/>
      <c r="BL218" s="397"/>
      <c r="BM218" s="397"/>
      <c r="BN218" s="397"/>
    </row>
    <row r="219" spans="5:66" ht="14.25">
      <c r="E219" s="397"/>
      <c r="F219" s="397"/>
      <c r="G219" s="397"/>
      <c r="H219" s="397"/>
      <c r="I219" s="397"/>
      <c r="J219" s="397"/>
      <c r="K219" s="397"/>
      <c r="L219" s="397"/>
      <c r="M219" s="397"/>
      <c r="N219" s="397"/>
      <c r="O219" s="397"/>
      <c r="P219" s="397"/>
      <c r="Q219" s="397"/>
      <c r="R219" s="397"/>
      <c r="S219" s="397"/>
      <c r="T219" s="397"/>
      <c r="U219" s="397"/>
      <c r="V219" s="397"/>
      <c r="W219" s="397"/>
      <c r="X219" s="397"/>
      <c r="Y219" s="397"/>
      <c r="Z219" s="397"/>
      <c r="AA219" s="397"/>
      <c r="AB219" s="397"/>
      <c r="AC219" s="397"/>
      <c r="AD219" s="397"/>
      <c r="AE219" s="397"/>
      <c r="AF219" s="397"/>
      <c r="AG219" s="397"/>
      <c r="AH219" s="397"/>
      <c r="AI219" s="397"/>
      <c r="AJ219" s="397"/>
      <c r="AK219" s="397"/>
      <c r="AL219" s="397"/>
      <c r="AM219" s="397"/>
      <c r="AN219" s="397"/>
      <c r="AO219" s="397"/>
      <c r="AP219" s="397"/>
      <c r="AQ219" s="397"/>
      <c r="AR219" s="397"/>
      <c r="AS219" s="397"/>
      <c r="AT219" s="397"/>
      <c r="AU219" s="397"/>
      <c r="AV219" s="397"/>
      <c r="AW219" s="397"/>
      <c r="AX219" s="397"/>
      <c r="AY219" s="397"/>
      <c r="AZ219" s="397"/>
      <c r="BA219" s="397"/>
      <c r="BB219" s="397"/>
      <c r="BC219" s="397"/>
      <c r="BD219" s="397"/>
      <c r="BE219" s="397"/>
      <c r="BF219" s="397"/>
      <c r="BG219" s="397"/>
      <c r="BH219" s="397"/>
      <c r="BI219" s="397"/>
      <c r="BJ219" s="397"/>
      <c r="BK219" s="397"/>
      <c r="BL219" s="397"/>
      <c r="BM219" s="397"/>
      <c r="BN219" s="397"/>
    </row>
    <row r="220" spans="5:66" ht="14.25">
      <c r="E220" s="397"/>
      <c r="F220" s="397"/>
      <c r="G220" s="397"/>
      <c r="H220" s="397"/>
      <c r="I220" s="397"/>
      <c r="J220" s="397"/>
      <c r="K220" s="397"/>
      <c r="L220" s="397"/>
      <c r="M220" s="397"/>
      <c r="N220" s="397"/>
      <c r="O220" s="397"/>
      <c r="P220" s="397"/>
      <c r="Q220" s="397"/>
      <c r="R220" s="397"/>
      <c r="S220" s="397"/>
      <c r="T220" s="397"/>
      <c r="U220" s="397"/>
      <c r="V220" s="397"/>
      <c r="W220" s="397"/>
      <c r="X220" s="397"/>
      <c r="Y220" s="397"/>
      <c r="Z220" s="397"/>
      <c r="AA220" s="397"/>
      <c r="AB220" s="397"/>
      <c r="AC220" s="397"/>
      <c r="AD220" s="397"/>
      <c r="AE220" s="397"/>
      <c r="AF220" s="397"/>
      <c r="AG220" s="397"/>
      <c r="AH220" s="397"/>
      <c r="AI220" s="397"/>
      <c r="AJ220" s="397"/>
      <c r="AK220" s="397"/>
      <c r="AL220" s="397"/>
      <c r="AM220" s="397"/>
      <c r="AN220" s="397"/>
      <c r="AO220" s="397"/>
      <c r="AP220" s="397"/>
      <c r="AQ220" s="397"/>
      <c r="AR220" s="397"/>
      <c r="AS220" s="397"/>
      <c r="AT220" s="397"/>
      <c r="AU220" s="397"/>
      <c r="AV220" s="397"/>
      <c r="AW220" s="397"/>
      <c r="AX220" s="397"/>
      <c r="AY220" s="397"/>
      <c r="AZ220" s="397"/>
      <c r="BA220" s="397"/>
      <c r="BB220" s="397"/>
      <c r="BC220" s="397"/>
      <c r="BD220" s="397"/>
      <c r="BE220" s="397"/>
      <c r="BF220" s="397"/>
      <c r="BG220" s="397"/>
      <c r="BH220" s="397"/>
      <c r="BI220" s="397"/>
      <c r="BJ220" s="397"/>
      <c r="BK220" s="397"/>
      <c r="BL220" s="397"/>
      <c r="BM220" s="397"/>
      <c r="BN220" s="397"/>
    </row>
    <row r="221" spans="5:66" ht="14.25">
      <c r="E221" s="397"/>
      <c r="F221" s="397"/>
      <c r="G221" s="397"/>
      <c r="H221" s="397"/>
      <c r="I221" s="397"/>
      <c r="J221" s="397"/>
      <c r="K221" s="397"/>
      <c r="L221" s="397"/>
      <c r="M221" s="397"/>
      <c r="N221" s="397"/>
      <c r="O221" s="397"/>
      <c r="P221" s="397"/>
      <c r="Q221" s="397"/>
      <c r="R221" s="397"/>
      <c r="S221" s="397"/>
      <c r="T221" s="397"/>
      <c r="U221" s="397"/>
      <c r="V221" s="397"/>
      <c r="W221" s="397"/>
      <c r="X221" s="397"/>
      <c r="Y221" s="397"/>
      <c r="Z221" s="397"/>
      <c r="AA221" s="397"/>
      <c r="AB221" s="397"/>
      <c r="AC221" s="397"/>
      <c r="AD221" s="397"/>
      <c r="AE221" s="397"/>
      <c r="AF221" s="397"/>
      <c r="AG221" s="397"/>
      <c r="AH221" s="397"/>
      <c r="AI221" s="397"/>
      <c r="AJ221" s="397"/>
      <c r="AK221" s="397"/>
      <c r="AL221" s="397"/>
      <c r="AM221" s="397"/>
      <c r="AN221" s="397"/>
      <c r="AO221" s="397"/>
      <c r="AP221" s="397"/>
      <c r="AQ221" s="397"/>
      <c r="AR221" s="397"/>
      <c r="AS221" s="397"/>
      <c r="AT221" s="397"/>
      <c r="AU221" s="397"/>
      <c r="AV221" s="397"/>
      <c r="AW221" s="397"/>
      <c r="AX221" s="397"/>
      <c r="AY221" s="397"/>
      <c r="AZ221" s="397"/>
      <c r="BA221" s="397"/>
      <c r="BB221" s="397"/>
      <c r="BC221" s="397"/>
      <c r="BD221" s="397"/>
      <c r="BE221" s="397"/>
      <c r="BF221" s="397"/>
      <c r="BG221" s="397"/>
      <c r="BH221" s="397"/>
      <c r="BI221" s="397"/>
      <c r="BJ221" s="397"/>
      <c r="BK221" s="397"/>
      <c r="BL221" s="397"/>
      <c r="BM221" s="397"/>
      <c r="BN221" s="397"/>
    </row>
    <row r="222" spans="5:66" ht="14.25">
      <c r="E222" s="397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S222" s="397"/>
      <c r="T222" s="397"/>
      <c r="U222" s="397"/>
      <c r="V222" s="397"/>
      <c r="W222" s="397"/>
      <c r="X222" s="397"/>
      <c r="Y222" s="397"/>
      <c r="Z222" s="397"/>
      <c r="AA222" s="397"/>
      <c r="AB222" s="397"/>
      <c r="AC222" s="397"/>
      <c r="AD222" s="397"/>
      <c r="AE222" s="397"/>
      <c r="AF222" s="397"/>
      <c r="AG222" s="397"/>
      <c r="AH222" s="397"/>
      <c r="AI222" s="397"/>
      <c r="AJ222" s="397"/>
      <c r="AK222" s="397"/>
      <c r="AL222" s="397"/>
      <c r="AM222" s="397"/>
      <c r="AN222" s="397"/>
      <c r="AO222" s="397"/>
      <c r="AP222" s="397"/>
      <c r="AQ222" s="397"/>
      <c r="AR222" s="397"/>
      <c r="AS222" s="397"/>
      <c r="AT222" s="397"/>
      <c r="AU222" s="397"/>
      <c r="AV222" s="397"/>
      <c r="AW222" s="397"/>
      <c r="AX222" s="397"/>
      <c r="AY222" s="397"/>
      <c r="AZ222" s="397"/>
      <c r="BA222" s="397"/>
      <c r="BB222" s="397"/>
      <c r="BC222" s="397"/>
      <c r="BD222" s="397"/>
      <c r="BE222" s="397"/>
      <c r="BF222" s="397"/>
      <c r="BG222" s="397"/>
      <c r="BH222" s="397"/>
      <c r="BI222" s="397"/>
      <c r="BJ222" s="397"/>
      <c r="BK222" s="397"/>
      <c r="BL222" s="397"/>
      <c r="BM222" s="397"/>
      <c r="BN222" s="397"/>
    </row>
    <row r="223" spans="5:66" ht="14.25">
      <c r="E223" s="397"/>
      <c r="F223" s="397"/>
      <c r="G223" s="397"/>
      <c r="H223" s="397"/>
      <c r="I223" s="397"/>
      <c r="J223" s="397"/>
      <c r="K223" s="397"/>
      <c r="L223" s="397"/>
      <c r="M223" s="397"/>
      <c r="N223" s="397"/>
      <c r="O223" s="397"/>
      <c r="P223" s="397"/>
      <c r="Q223" s="397"/>
      <c r="R223" s="397"/>
      <c r="S223" s="397"/>
      <c r="T223" s="397"/>
      <c r="U223" s="397"/>
      <c r="V223" s="397"/>
      <c r="W223" s="397"/>
      <c r="X223" s="397"/>
      <c r="Y223" s="397"/>
      <c r="Z223" s="397"/>
      <c r="AA223" s="397"/>
      <c r="AB223" s="397"/>
      <c r="AC223" s="397"/>
      <c r="AD223" s="397"/>
      <c r="AE223" s="397"/>
      <c r="AF223" s="397"/>
      <c r="AG223" s="397"/>
      <c r="AH223" s="397"/>
      <c r="AI223" s="397"/>
      <c r="AJ223" s="397"/>
      <c r="AK223" s="397"/>
      <c r="AL223" s="397"/>
      <c r="AM223" s="397"/>
      <c r="AN223" s="397"/>
      <c r="AO223" s="397"/>
      <c r="AP223" s="397"/>
      <c r="AQ223" s="397"/>
      <c r="AR223" s="397"/>
      <c r="AS223" s="397"/>
      <c r="AT223" s="397"/>
      <c r="AU223" s="397"/>
      <c r="AV223" s="397"/>
      <c r="AW223" s="397"/>
      <c r="AX223" s="397"/>
      <c r="AY223" s="397"/>
      <c r="AZ223" s="397"/>
      <c r="BA223" s="397"/>
      <c r="BB223" s="397"/>
      <c r="BC223" s="397"/>
      <c r="BD223" s="397"/>
      <c r="BE223" s="397"/>
      <c r="BF223" s="397"/>
      <c r="BG223" s="397"/>
      <c r="BH223" s="397"/>
      <c r="BI223" s="397"/>
      <c r="BJ223" s="397"/>
      <c r="BK223" s="397"/>
      <c r="BL223" s="397"/>
      <c r="BM223" s="397"/>
      <c r="BN223" s="397"/>
    </row>
    <row r="224" spans="5:66" ht="14.25">
      <c r="E224" s="397"/>
      <c r="F224" s="397"/>
      <c r="G224" s="397"/>
      <c r="H224" s="397"/>
      <c r="I224" s="397"/>
      <c r="J224" s="397"/>
      <c r="K224" s="397"/>
      <c r="L224" s="397"/>
      <c r="M224" s="397"/>
      <c r="N224" s="397"/>
      <c r="O224" s="397"/>
      <c r="P224" s="397"/>
      <c r="Q224" s="397"/>
      <c r="R224" s="397"/>
      <c r="S224" s="397"/>
      <c r="T224" s="397"/>
      <c r="U224" s="397"/>
      <c r="V224" s="397"/>
      <c r="W224" s="397"/>
      <c r="X224" s="397"/>
      <c r="Y224" s="397"/>
      <c r="Z224" s="397"/>
      <c r="AA224" s="397"/>
      <c r="AB224" s="397"/>
      <c r="AC224" s="397"/>
      <c r="AD224" s="397"/>
      <c r="AE224" s="397"/>
      <c r="AF224" s="397"/>
      <c r="AG224" s="397"/>
      <c r="AH224" s="397"/>
      <c r="AI224" s="397"/>
      <c r="AJ224" s="397"/>
      <c r="AK224" s="397"/>
      <c r="AL224" s="397"/>
      <c r="AM224" s="397"/>
      <c r="AN224" s="397"/>
      <c r="AO224" s="397"/>
      <c r="AP224" s="397"/>
      <c r="AQ224" s="397"/>
      <c r="AR224" s="397"/>
      <c r="AS224" s="397"/>
      <c r="AT224" s="397"/>
      <c r="AU224" s="397"/>
      <c r="AV224" s="397"/>
      <c r="AW224" s="397"/>
      <c r="AX224" s="397"/>
      <c r="AY224" s="397"/>
      <c r="AZ224" s="397"/>
      <c r="BA224" s="397"/>
      <c r="BB224" s="397"/>
      <c r="BC224" s="397"/>
      <c r="BD224" s="397"/>
      <c r="BE224" s="397"/>
      <c r="BF224" s="397"/>
      <c r="BG224" s="397"/>
      <c r="BH224" s="397"/>
      <c r="BI224" s="397"/>
      <c r="BJ224" s="397"/>
      <c r="BK224" s="397"/>
      <c r="BL224" s="397"/>
      <c r="BM224" s="397"/>
      <c r="BN224" s="397"/>
    </row>
    <row r="225" spans="5:66" ht="14.25">
      <c r="E225" s="397"/>
      <c r="F225" s="397"/>
      <c r="G225" s="397"/>
      <c r="H225" s="397"/>
      <c r="I225" s="397"/>
      <c r="J225" s="397"/>
      <c r="K225" s="397"/>
      <c r="L225" s="397"/>
      <c r="M225" s="397"/>
      <c r="N225" s="397"/>
      <c r="O225" s="397"/>
      <c r="P225" s="397"/>
      <c r="Q225" s="397"/>
      <c r="R225" s="397"/>
      <c r="S225" s="397"/>
      <c r="T225" s="397"/>
      <c r="U225" s="397"/>
      <c r="V225" s="397"/>
      <c r="W225" s="397"/>
      <c r="X225" s="397"/>
      <c r="Y225" s="397"/>
      <c r="Z225" s="397"/>
      <c r="AA225" s="397"/>
      <c r="AB225" s="397"/>
      <c r="AC225" s="397"/>
      <c r="AD225" s="397"/>
      <c r="AE225" s="397"/>
      <c r="AF225" s="397"/>
      <c r="AG225" s="397"/>
      <c r="AH225" s="397"/>
      <c r="AI225" s="397"/>
      <c r="AJ225" s="397"/>
      <c r="AK225" s="397"/>
      <c r="AL225" s="397"/>
      <c r="AM225" s="397"/>
      <c r="AN225" s="397"/>
      <c r="AO225" s="397"/>
      <c r="AP225" s="397"/>
      <c r="AQ225" s="397"/>
      <c r="AR225" s="397"/>
      <c r="AS225" s="397"/>
      <c r="AT225" s="397"/>
      <c r="AU225" s="397"/>
      <c r="AV225" s="397"/>
      <c r="AW225" s="397"/>
      <c r="AX225" s="397"/>
      <c r="AY225" s="397"/>
      <c r="AZ225" s="397"/>
      <c r="BA225" s="397"/>
      <c r="BB225" s="397"/>
      <c r="BC225" s="397"/>
      <c r="BD225" s="397"/>
      <c r="BE225" s="397"/>
      <c r="BF225" s="397"/>
      <c r="BG225" s="397"/>
      <c r="BH225" s="397"/>
      <c r="BI225" s="397"/>
      <c r="BJ225" s="397"/>
      <c r="BK225" s="397"/>
      <c r="BL225" s="397"/>
      <c r="BM225" s="397"/>
      <c r="BN225" s="397"/>
    </row>
    <row r="226" spans="5:66" ht="14.25">
      <c r="E226" s="397"/>
      <c r="F226" s="397"/>
      <c r="G226" s="397"/>
      <c r="H226" s="397"/>
      <c r="I226" s="397"/>
      <c r="J226" s="397"/>
      <c r="K226" s="397"/>
      <c r="L226" s="397"/>
      <c r="M226" s="397"/>
      <c r="N226" s="397"/>
      <c r="O226" s="397"/>
      <c r="P226" s="397"/>
      <c r="Q226" s="397"/>
      <c r="R226" s="397"/>
      <c r="S226" s="397"/>
      <c r="T226" s="397"/>
      <c r="U226" s="397"/>
      <c r="V226" s="397"/>
      <c r="W226" s="397"/>
      <c r="X226" s="397"/>
      <c r="Y226" s="397"/>
      <c r="Z226" s="397"/>
      <c r="AA226" s="397"/>
      <c r="AB226" s="397"/>
      <c r="AC226" s="397"/>
      <c r="AD226" s="397"/>
      <c r="AE226" s="397"/>
      <c r="AF226" s="397"/>
      <c r="AG226" s="397"/>
      <c r="AH226" s="397"/>
      <c r="AI226" s="397"/>
      <c r="AJ226" s="397"/>
      <c r="AK226" s="397"/>
      <c r="AL226" s="397"/>
      <c r="AM226" s="397"/>
      <c r="AN226" s="397"/>
      <c r="AO226" s="397"/>
      <c r="AP226" s="397"/>
      <c r="AQ226" s="397"/>
      <c r="AR226" s="397"/>
      <c r="AS226" s="397"/>
      <c r="AT226" s="397"/>
      <c r="AU226" s="397"/>
      <c r="AV226" s="397"/>
      <c r="AW226" s="397"/>
      <c r="AX226" s="397"/>
      <c r="AY226" s="397"/>
      <c r="AZ226" s="397"/>
      <c r="BA226" s="397"/>
      <c r="BB226" s="397"/>
      <c r="BC226" s="397"/>
      <c r="BD226" s="397"/>
      <c r="BE226" s="397"/>
      <c r="BF226" s="397"/>
      <c r="BG226" s="397"/>
      <c r="BH226" s="397"/>
      <c r="BI226" s="397"/>
      <c r="BJ226" s="397"/>
      <c r="BK226" s="397"/>
      <c r="BL226" s="397"/>
      <c r="BM226" s="397"/>
      <c r="BN226" s="397"/>
    </row>
    <row r="227" spans="5:66" ht="14.25">
      <c r="E227" s="397"/>
      <c r="F227" s="397"/>
      <c r="G227" s="397"/>
      <c r="H227" s="397"/>
      <c r="I227" s="397"/>
      <c r="J227" s="397"/>
      <c r="K227" s="397"/>
      <c r="L227" s="397"/>
      <c r="M227" s="397"/>
      <c r="N227" s="397"/>
      <c r="O227" s="397"/>
      <c r="P227" s="397"/>
      <c r="Q227" s="397"/>
      <c r="R227" s="397"/>
      <c r="S227" s="397"/>
      <c r="T227" s="397"/>
      <c r="U227" s="397"/>
      <c r="V227" s="397"/>
      <c r="W227" s="397"/>
      <c r="X227" s="397"/>
      <c r="Y227" s="397"/>
      <c r="Z227" s="397"/>
      <c r="AA227" s="397"/>
      <c r="AB227" s="397"/>
      <c r="AC227" s="397"/>
      <c r="AD227" s="397"/>
      <c r="AE227" s="397"/>
      <c r="AF227" s="397"/>
      <c r="AG227" s="397"/>
      <c r="AH227" s="397"/>
      <c r="AI227" s="397"/>
      <c r="AJ227" s="397"/>
      <c r="AK227" s="397"/>
      <c r="AL227" s="397"/>
      <c r="AM227" s="397"/>
      <c r="AN227" s="397"/>
      <c r="AO227" s="397"/>
      <c r="AP227" s="397"/>
      <c r="AQ227" s="397"/>
      <c r="AR227" s="397"/>
      <c r="AS227" s="397"/>
      <c r="AT227" s="397"/>
      <c r="AU227" s="397"/>
      <c r="AV227" s="397"/>
      <c r="AW227" s="397"/>
      <c r="AX227" s="397"/>
      <c r="AY227" s="397"/>
      <c r="AZ227" s="397"/>
      <c r="BA227" s="397"/>
      <c r="BB227" s="397"/>
      <c r="BC227" s="397"/>
      <c r="BD227" s="397"/>
      <c r="BE227" s="397"/>
      <c r="BF227" s="397"/>
      <c r="BG227" s="397"/>
      <c r="BH227" s="397"/>
      <c r="BI227" s="397"/>
      <c r="BJ227" s="397"/>
      <c r="BK227" s="397"/>
      <c r="BL227" s="397"/>
      <c r="BM227" s="397"/>
      <c r="BN227" s="397"/>
    </row>
    <row r="228" spans="5:66" ht="14.25">
      <c r="E228" s="397"/>
      <c r="F228" s="397"/>
      <c r="G228" s="397"/>
      <c r="H228" s="397"/>
      <c r="I228" s="397"/>
      <c r="J228" s="397"/>
      <c r="K228" s="397"/>
      <c r="L228" s="397"/>
      <c r="M228" s="397"/>
      <c r="N228" s="397"/>
      <c r="O228" s="397"/>
      <c r="P228" s="397"/>
      <c r="Q228" s="397"/>
      <c r="R228" s="397"/>
      <c r="S228" s="397"/>
      <c r="T228" s="397"/>
      <c r="U228" s="397"/>
      <c r="V228" s="397"/>
      <c r="W228" s="397"/>
      <c r="X228" s="397"/>
      <c r="Y228" s="397"/>
      <c r="Z228" s="397"/>
      <c r="AA228" s="397"/>
      <c r="AB228" s="397"/>
      <c r="AC228" s="397"/>
      <c r="AD228" s="397"/>
      <c r="AE228" s="397"/>
      <c r="AF228" s="397"/>
      <c r="AG228" s="397"/>
      <c r="AH228" s="397"/>
      <c r="AI228" s="397"/>
      <c r="AJ228" s="397"/>
      <c r="AK228" s="397"/>
      <c r="AL228" s="397"/>
      <c r="AM228" s="397"/>
      <c r="AN228" s="397"/>
      <c r="AO228" s="397"/>
      <c r="AP228" s="397"/>
      <c r="AQ228" s="397"/>
      <c r="AR228" s="397"/>
      <c r="AS228" s="397"/>
      <c r="AT228" s="397"/>
      <c r="AU228" s="397"/>
      <c r="AV228" s="397"/>
      <c r="AW228" s="397"/>
      <c r="AX228" s="397"/>
      <c r="AY228" s="397"/>
      <c r="AZ228" s="397"/>
      <c r="BA228" s="397"/>
      <c r="BB228" s="397"/>
      <c r="BC228" s="397"/>
      <c r="BD228" s="397"/>
      <c r="BE228" s="397"/>
      <c r="BF228" s="397"/>
      <c r="BG228" s="397"/>
      <c r="BH228" s="397"/>
      <c r="BI228" s="397"/>
      <c r="BJ228" s="397"/>
      <c r="BK228" s="397"/>
      <c r="BL228" s="397"/>
      <c r="BM228" s="397"/>
      <c r="BN228" s="397"/>
    </row>
    <row r="229" spans="5:66" ht="14.25">
      <c r="E229" s="397"/>
      <c r="F229" s="397"/>
      <c r="G229" s="397"/>
      <c r="H229" s="397"/>
      <c r="I229" s="397"/>
      <c r="J229" s="397"/>
      <c r="K229" s="397"/>
      <c r="L229" s="397"/>
      <c r="M229" s="397"/>
      <c r="N229" s="397"/>
      <c r="O229" s="397"/>
      <c r="P229" s="397"/>
      <c r="Q229" s="397"/>
      <c r="R229" s="397"/>
      <c r="S229" s="397"/>
      <c r="T229" s="397"/>
      <c r="U229" s="397"/>
      <c r="V229" s="397"/>
      <c r="W229" s="397"/>
      <c r="X229" s="397"/>
      <c r="Y229" s="397"/>
      <c r="Z229" s="397"/>
      <c r="AA229" s="397"/>
      <c r="AB229" s="397"/>
      <c r="AC229" s="397"/>
      <c r="AD229" s="397"/>
      <c r="AE229" s="397"/>
      <c r="AF229" s="397"/>
      <c r="AG229" s="397"/>
      <c r="AH229" s="397"/>
      <c r="AI229" s="397"/>
      <c r="AJ229" s="397"/>
      <c r="AK229" s="397"/>
      <c r="AL229" s="397"/>
      <c r="AM229" s="397"/>
      <c r="AN229" s="397"/>
      <c r="AO229" s="397"/>
      <c r="AP229" s="397"/>
      <c r="AQ229" s="397"/>
      <c r="AR229" s="397"/>
      <c r="AS229" s="397"/>
      <c r="AT229" s="397"/>
      <c r="AU229" s="397"/>
      <c r="AV229" s="397"/>
      <c r="AW229" s="397"/>
      <c r="AX229" s="397"/>
      <c r="AY229" s="397"/>
      <c r="AZ229" s="397"/>
      <c r="BA229" s="397"/>
      <c r="BB229" s="397"/>
      <c r="BC229" s="397"/>
      <c r="BD229" s="397"/>
      <c r="BE229" s="397"/>
      <c r="BF229" s="397"/>
      <c r="BG229" s="397"/>
      <c r="BH229" s="397"/>
      <c r="BI229" s="397"/>
      <c r="BJ229" s="397"/>
      <c r="BK229" s="397"/>
      <c r="BL229" s="397"/>
      <c r="BM229" s="397"/>
      <c r="BN229" s="397"/>
    </row>
    <row r="230" spans="5:66" ht="14.25">
      <c r="E230" s="397"/>
      <c r="F230" s="397"/>
      <c r="G230" s="397"/>
      <c r="H230" s="397"/>
      <c r="I230" s="397"/>
      <c r="J230" s="397"/>
      <c r="K230" s="397"/>
      <c r="L230" s="397"/>
      <c r="M230" s="397"/>
      <c r="N230" s="397"/>
      <c r="O230" s="397"/>
      <c r="P230" s="397"/>
      <c r="Q230" s="397"/>
      <c r="R230" s="397"/>
      <c r="S230" s="397"/>
      <c r="T230" s="397"/>
      <c r="U230" s="397"/>
      <c r="V230" s="397"/>
      <c r="W230" s="397"/>
      <c r="X230" s="397"/>
      <c r="Y230" s="397"/>
      <c r="Z230" s="397"/>
      <c r="AA230" s="397"/>
      <c r="AB230" s="397"/>
      <c r="AC230" s="397"/>
      <c r="AD230" s="397"/>
      <c r="AE230" s="397"/>
      <c r="AF230" s="397"/>
      <c r="AG230" s="397"/>
      <c r="AH230" s="397"/>
      <c r="AI230" s="397"/>
      <c r="AJ230" s="397"/>
      <c r="AK230" s="397"/>
      <c r="AL230" s="397"/>
      <c r="AM230" s="397"/>
      <c r="AN230" s="397"/>
      <c r="AO230" s="397"/>
      <c r="AP230" s="397"/>
      <c r="AQ230" s="397"/>
      <c r="AR230" s="397"/>
      <c r="AS230" s="397"/>
      <c r="AT230" s="397"/>
      <c r="AU230" s="397"/>
      <c r="AV230" s="397"/>
      <c r="AW230" s="397"/>
      <c r="AX230" s="397"/>
      <c r="AY230" s="397"/>
      <c r="AZ230" s="397"/>
      <c r="BA230" s="397"/>
      <c r="BB230" s="397"/>
      <c r="BC230" s="397"/>
      <c r="BD230" s="397"/>
      <c r="BE230" s="397"/>
      <c r="BF230" s="397"/>
      <c r="BG230" s="397"/>
      <c r="BH230" s="397"/>
      <c r="BI230" s="397"/>
      <c r="BJ230" s="397"/>
      <c r="BK230" s="397"/>
      <c r="BL230" s="397"/>
      <c r="BM230" s="397"/>
      <c r="BN230" s="397"/>
    </row>
    <row r="231" spans="5:66" ht="14.25">
      <c r="E231" s="397"/>
      <c r="F231" s="397"/>
      <c r="G231" s="397"/>
      <c r="H231" s="397"/>
      <c r="I231" s="397"/>
      <c r="J231" s="397"/>
      <c r="K231" s="397"/>
      <c r="L231" s="397"/>
      <c r="M231" s="397"/>
      <c r="N231" s="397"/>
      <c r="O231" s="397"/>
      <c r="P231" s="397"/>
      <c r="Q231" s="397"/>
      <c r="R231" s="397"/>
      <c r="S231" s="397"/>
      <c r="T231" s="397"/>
      <c r="U231" s="397"/>
      <c r="V231" s="397"/>
      <c r="W231" s="397"/>
      <c r="X231" s="397"/>
      <c r="Y231" s="397"/>
      <c r="Z231" s="397"/>
      <c r="AA231" s="397"/>
      <c r="AB231" s="397"/>
      <c r="AC231" s="397"/>
      <c r="AD231" s="397"/>
      <c r="AE231" s="397"/>
      <c r="AF231" s="397"/>
      <c r="AG231" s="397"/>
      <c r="AH231" s="397"/>
      <c r="AI231" s="397"/>
      <c r="AJ231" s="397"/>
      <c r="AK231" s="397"/>
      <c r="AL231" s="397"/>
      <c r="AM231" s="397"/>
      <c r="AN231" s="397"/>
      <c r="AO231" s="397"/>
      <c r="AP231" s="397"/>
      <c r="AQ231" s="397"/>
      <c r="AR231" s="397"/>
      <c r="AS231" s="397"/>
      <c r="AT231" s="397"/>
      <c r="AU231" s="397"/>
      <c r="AV231" s="397"/>
      <c r="AW231" s="397"/>
      <c r="AX231" s="397"/>
      <c r="AY231" s="397"/>
      <c r="AZ231" s="397"/>
      <c r="BA231" s="397"/>
      <c r="BB231" s="397"/>
      <c r="BC231" s="397"/>
      <c r="BD231" s="397"/>
      <c r="BE231" s="397"/>
      <c r="BF231" s="397"/>
      <c r="BG231" s="397"/>
      <c r="BH231" s="397"/>
      <c r="BI231" s="397"/>
      <c r="BJ231" s="397"/>
      <c r="BK231" s="397"/>
      <c r="BL231" s="397"/>
      <c r="BM231" s="397"/>
      <c r="BN231" s="397"/>
    </row>
    <row r="232" spans="5:66" ht="14.25">
      <c r="E232" s="397"/>
      <c r="F232" s="397"/>
      <c r="G232" s="397"/>
      <c r="H232" s="397"/>
      <c r="I232" s="397"/>
      <c r="J232" s="397"/>
      <c r="K232" s="397"/>
      <c r="L232" s="397"/>
      <c r="M232" s="397"/>
      <c r="N232" s="397"/>
      <c r="O232" s="397"/>
      <c r="P232" s="397"/>
      <c r="Q232" s="397"/>
      <c r="R232" s="397"/>
      <c r="S232" s="397"/>
      <c r="T232" s="397"/>
      <c r="U232" s="397"/>
      <c r="V232" s="397"/>
      <c r="W232" s="397"/>
      <c r="X232" s="397"/>
      <c r="Y232" s="397"/>
      <c r="Z232" s="397"/>
      <c r="AA232" s="397"/>
      <c r="AB232" s="397"/>
      <c r="AC232" s="397"/>
      <c r="AD232" s="397"/>
      <c r="AE232" s="397"/>
      <c r="AF232" s="397"/>
      <c r="AG232" s="397"/>
      <c r="AH232" s="397"/>
      <c r="AI232" s="397"/>
      <c r="AJ232" s="397"/>
      <c r="AK232" s="397"/>
      <c r="AL232" s="397"/>
      <c r="AM232" s="397"/>
      <c r="AN232" s="397"/>
      <c r="AO232" s="397"/>
      <c r="AP232" s="397"/>
      <c r="AQ232" s="397"/>
      <c r="AR232" s="397"/>
      <c r="AS232" s="397"/>
      <c r="AT232" s="397"/>
      <c r="AU232" s="397"/>
      <c r="AV232" s="397"/>
      <c r="AW232" s="397"/>
      <c r="AX232" s="397"/>
      <c r="AY232" s="397"/>
      <c r="AZ232" s="397"/>
      <c r="BA232" s="397"/>
      <c r="BB232" s="397"/>
      <c r="BC232" s="397"/>
      <c r="BD232" s="397"/>
      <c r="BE232" s="397"/>
      <c r="BF232" s="397"/>
      <c r="BG232" s="397"/>
      <c r="BH232" s="397"/>
      <c r="BI232" s="397"/>
      <c r="BJ232" s="397"/>
      <c r="BK232" s="397"/>
      <c r="BL232" s="397"/>
      <c r="BM232" s="397"/>
      <c r="BN232" s="397"/>
    </row>
    <row r="233" spans="5:66" ht="14.25">
      <c r="E233" s="397"/>
      <c r="F233" s="397"/>
      <c r="G233" s="397"/>
      <c r="H233" s="397"/>
      <c r="I233" s="397"/>
      <c r="J233" s="397"/>
      <c r="K233" s="397"/>
      <c r="L233" s="397"/>
      <c r="M233" s="397"/>
      <c r="N233" s="397"/>
      <c r="O233" s="397"/>
      <c r="P233" s="397"/>
      <c r="Q233" s="397"/>
      <c r="R233" s="397"/>
      <c r="S233" s="397"/>
      <c r="T233" s="397"/>
      <c r="U233" s="397"/>
      <c r="V233" s="397"/>
      <c r="W233" s="397"/>
      <c r="X233" s="397"/>
      <c r="Y233" s="397"/>
      <c r="Z233" s="397"/>
      <c r="AA233" s="397"/>
      <c r="AB233" s="397"/>
      <c r="AC233" s="397"/>
      <c r="AD233" s="397"/>
      <c r="AE233" s="397"/>
      <c r="AF233" s="397"/>
      <c r="AG233" s="397"/>
      <c r="AH233" s="397"/>
      <c r="AI233" s="397"/>
      <c r="AJ233" s="397"/>
      <c r="AK233" s="397"/>
      <c r="AL233" s="397"/>
      <c r="AM233" s="397"/>
      <c r="AN233" s="397"/>
      <c r="AO233" s="397"/>
      <c r="AP233" s="397"/>
      <c r="AQ233" s="397"/>
      <c r="AR233" s="397"/>
      <c r="AS233" s="397"/>
      <c r="AT233" s="397"/>
      <c r="AU233" s="397"/>
      <c r="AV233" s="397"/>
      <c r="AW233" s="397"/>
      <c r="AX233" s="397"/>
      <c r="AY233" s="397"/>
      <c r="AZ233" s="397"/>
      <c r="BA233" s="397"/>
      <c r="BB233" s="397"/>
      <c r="BC233" s="397"/>
      <c r="BD233" s="397"/>
      <c r="BE233" s="397"/>
      <c r="BF233" s="397"/>
      <c r="BG233" s="397"/>
      <c r="BH233" s="397"/>
      <c r="BI233" s="397"/>
      <c r="BJ233" s="397"/>
      <c r="BK233" s="397"/>
      <c r="BL233" s="397"/>
      <c r="BM233" s="397"/>
      <c r="BN233" s="397"/>
    </row>
    <row r="234" spans="5:66" ht="14.25">
      <c r="E234" s="397"/>
      <c r="F234" s="397"/>
      <c r="G234" s="397"/>
      <c r="H234" s="397"/>
      <c r="I234" s="397"/>
      <c r="J234" s="397"/>
      <c r="K234" s="397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  <c r="Z234" s="397"/>
      <c r="AA234" s="397"/>
      <c r="AB234" s="397"/>
      <c r="AC234" s="397"/>
      <c r="AD234" s="397"/>
      <c r="AE234" s="397"/>
      <c r="AF234" s="397"/>
      <c r="AG234" s="397"/>
      <c r="AH234" s="397"/>
      <c r="AI234" s="397"/>
      <c r="AJ234" s="397"/>
      <c r="AK234" s="397"/>
      <c r="AL234" s="397"/>
      <c r="AM234" s="397"/>
      <c r="AN234" s="397"/>
      <c r="AO234" s="397"/>
      <c r="AP234" s="397"/>
      <c r="AQ234" s="397"/>
      <c r="AR234" s="397"/>
      <c r="AS234" s="397"/>
      <c r="AT234" s="397"/>
      <c r="AU234" s="397"/>
      <c r="AV234" s="397"/>
      <c r="AW234" s="397"/>
      <c r="AX234" s="397"/>
      <c r="AY234" s="397"/>
      <c r="AZ234" s="397"/>
      <c r="BA234" s="397"/>
      <c r="BB234" s="397"/>
      <c r="BC234" s="397"/>
      <c r="BD234" s="397"/>
      <c r="BE234" s="397"/>
      <c r="BF234" s="397"/>
      <c r="BG234" s="397"/>
      <c r="BH234" s="397"/>
      <c r="BI234" s="397"/>
      <c r="BJ234" s="397"/>
      <c r="BK234" s="397"/>
      <c r="BL234" s="397"/>
      <c r="BM234" s="397"/>
      <c r="BN234" s="397"/>
    </row>
    <row r="235" spans="5:66" ht="14.25">
      <c r="E235" s="397"/>
      <c r="F235" s="397"/>
      <c r="G235" s="397"/>
      <c r="H235" s="397"/>
      <c r="I235" s="397"/>
      <c r="J235" s="397"/>
      <c r="K235" s="397"/>
      <c r="L235" s="397"/>
      <c r="M235" s="397"/>
      <c r="N235" s="397"/>
      <c r="O235" s="397"/>
      <c r="P235" s="397"/>
      <c r="Q235" s="397"/>
      <c r="R235" s="397"/>
      <c r="S235" s="397"/>
      <c r="T235" s="397"/>
      <c r="U235" s="397"/>
      <c r="V235" s="397"/>
      <c r="W235" s="397"/>
      <c r="X235" s="397"/>
      <c r="Y235" s="397"/>
      <c r="Z235" s="397"/>
      <c r="AA235" s="397"/>
      <c r="AB235" s="397"/>
      <c r="AC235" s="397"/>
      <c r="AD235" s="397"/>
      <c r="AE235" s="397"/>
      <c r="AF235" s="397"/>
      <c r="AG235" s="397"/>
      <c r="AH235" s="397"/>
      <c r="AI235" s="397"/>
      <c r="AJ235" s="397"/>
      <c r="AK235" s="397"/>
      <c r="AL235" s="397"/>
      <c r="AM235" s="397"/>
      <c r="AN235" s="397"/>
      <c r="AO235" s="397"/>
      <c r="AP235" s="397"/>
      <c r="AQ235" s="397"/>
      <c r="AR235" s="397"/>
      <c r="AS235" s="397"/>
      <c r="AT235" s="397"/>
      <c r="AU235" s="397"/>
      <c r="AV235" s="397"/>
      <c r="AW235" s="397"/>
      <c r="AX235" s="397"/>
      <c r="AY235" s="397"/>
      <c r="AZ235" s="397"/>
      <c r="BA235" s="397"/>
      <c r="BB235" s="397"/>
      <c r="BC235" s="397"/>
      <c r="BD235" s="397"/>
      <c r="BE235" s="397"/>
      <c r="BF235" s="397"/>
      <c r="BG235" s="397"/>
      <c r="BH235" s="397"/>
      <c r="BI235" s="397"/>
      <c r="BJ235" s="397"/>
      <c r="BK235" s="397"/>
      <c r="BL235" s="397"/>
      <c r="BM235" s="397"/>
      <c r="BN235" s="397"/>
    </row>
    <row r="236" spans="5:66" ht="14.25">
      <c r="E236" s="397"/>
      <c r="F236" s="397"/>
      <c r="G236" s="397"/>
      <c r="H236" s="397"/>
      <c r="I236" s="397"/>
      <c r="J236" s="397"/>
      <c r="K236" s="397"/>
      <c r="L236" s="397"/>
      <c r="M236" s="397"/>
      <c r="N236" s="397"/>
      <c r="O236" s="397"/>
      <c r="P236" s="397"/>
      <c r="Q236" s="397"/>
      <c r="R236" s="397"/>
      <c r="S236" s="397"/>
      <c r="T236" s="397"/>
      <c r="U236" s="397"/>
      <c r="V236" s="397"/>
      <c r="W236" s="397"/>
      <c r="X236" s="397"/>
      <c r="Y236" s="397"/>
      <c r="Z236" s="397"/>
      <c r="AA236" s="397"/>
      <c r="AB236" s="397"/>
      <c r="AC236" s="397"/>
      <c r="AD236" s="397"/>
      <c r="AE236" s="397"/>
      <c r="AF236" s="397"/>
      <c r="AG236" s="397"/>
      <c r="AH236" s="397"/>
      <c r="AI236" s="397"/>
      <c r="AJ236" s="397"/>
      <c r="AK236" s="397"/>
      <c r="AL236" s="397"/>
      <c r="AM236" s="397"/>
      <c r="AN236" s="397"/>
      <c r="AO236" s="397"/>
      <c r="AP236" s="397"/>
      <c r="AQ236" s="397"/>
      <c r="AR236" s="397"/>
      <c r="AS236" s="397"/>
      <c r="AT236" s="397"/>
      <c r="AU236" s="397"/>
      <c r="AV236" s="397"/>
      <c r="AW236" s="397"/>
      <c r="AX236" s="397"/>
      <c r="AY236" s="397"/>
      <c r="AZ236" s="397"/>
      <c r="BA236" s="397"/>
      <c r="BB236" s="397"/>
      <c r="BC236" s="397"/>
      <c r="BD236" s="397"/>
      <c r="BE236" s="397"/>
      <c r="BF236" s="397"/>
      <c r="BG236" s="397"/>
      <c r="BH236" s="397"/>
      <c r="BI236" s="397"/>
      <c r="BJ236" s="397"/>
      <c r="BK236" s="397"/>
      <c r="BL236" s="397"/>
      <c r="BM236" s="397"/>
      <c r="BN236" s="397"/>
    </row>
    <row r="237" spans="5:66" ht="14.25"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  <c r="Z237" s="397"/>
      <c r="AA237" s="397"/>
      <c r="AB237" s="397"/>
      <c r="AC237" s="397"/>
      <c r="AD237" s="397"/>
      <c r="AE237" s="397"/>
      <c r="AF237" s="397"/>
      <c r="AG237" s="397"/>
      <c r="AH237" s="397"/>
      <c r="AI237" s="397"/>
      <c r="AJ237" s="397"/>
      <c r="AK237" s="397"/>
      <c r="AL237" s="397"/>
      <c r="AM237" s="397"/>
      <c r="AN237" s="397"/>
      <c r="AO237" s="397"/>
      <c r="AP237" s="397"/>
      <c r="AQ237" s="397"/>
      <c r="AR237" s="397"/>
      <c r="AS237" s="397"/>
      <c r="AT237" s="397"/>
      <c r="AU237" s="397"/>
      <c r="AV237" s="397"/>
      <c r="AW237" s="397"/>
      <c r="AX237" s="397"/>
      <c r="AY237" s="397"/>
      <c r="AZ237" s="397"/>
      <c r="BA237" s="397"/>
      <c r="BB237" s="397"/>
      <c r="BC237" s="397"/>
      <c r="BD237" s="397"/>
      <c r="BE237" s="397"/>
      <c r="BF237" s="397"/>
      <c r="BG237" s="397"/>
      <c r="BH237" s="397"/>
      <c r="BI237" s="397"/>
      <c r="BJ237" s="397"/>
      <c r="BK237" s="397"/>
      <c r="BL237" s="397"/>
      <c r="BM237" s="397"/>
      <c r="BN237" s="397"/>
    </row>
    <row r="238" spans="5:66" ht="14.25">
      <c r="E238" s="397"/>
      <c r="F238" s="397"/>
      <c r="G238" s="397"/>
      <c r="H238" s="397"/>
      <c r="I238" s="397"/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97"/>
      <c r="U238" s="397"/>
      <c r="V238" s="397"/>
      <c r="W238" s="397"/>
      <c r="X238" s="397"/>
      <c r="Y238" s="397"/>
      <c r="Z238" s="397"/>
      <c r="AA238" s="397"/>
      <c r="AB238" s="397"/>
      <c r="AC238" s="397"/>
      <c r="AD238" s="397"/>
      <c r="AE238" s="397"/>
      <c r="AF238" s="397"/>
      <c r="AG238" s="397"/>
      <c r="AH238" s="397"/>
      <c r="AI238" s="397"/>
      <c r="AJ238" s="397"/>
      <c r="AK238" s="397"/>
      <c r="AL238" s="397"/>
      <c r="AM238" s="397"/>
      <c r="AN238" s="397"/>
      <c r="AO238" s="397"/>
      <c r="AP238" s="397"/>
      <c r="AQ238" s="397"/>
      <c r="AR238" s="397"/>
      <c r="AS238" s="397"/>
      <c r="AT238" s="397"/>
      <c r="AU238" s="397"/>
      <c r="AV238" s="397"/>
      <c r="AW238" s="397"/>
      <c r="AX238" s="397"/>
      <c r="AY238" s="397"/>
      <c r="AZ238" s="397"/>
      <c r="BA238" s="397"/>
      <c r="BB238" s="397"/>
      <c r="BC238" s="397"/>
      <c r="BD238" s="397"/>
      <c r="BE238" s="397"/>
      <c r="BF238" s="397"/>
      <c r="BG238" s="397"/>
      <c r="BH238" s="397"/>
      <c r="BI238" s="397"/>
      <c r="BJ238" s="397"/>
      <c r="BK238" s="397"/>
      <c r="BL238" s="397"/>
      <c r="BM238" s="397"/>
      <c r="BN238" s="397"/>
    </row>
    <row r="239" spans="5:66" ht="14.25">
      <c r="E239" s="397"/>
      <c r="F239" s="397"/>
      <c r="G239" s="397"/>
      <c r="H239" s="397"/>
      <c r="I239" s="397"/>
      <c r="J239" s="397"/>
      <c r="K239" s="397"/>
      <c r="L239" s="397"/>
      <c r="M239" s="397"/>
      <c r="N239" s="397"/>
      <c r="O239" s="397"/>
      <c r="P239" s="397"/>
      <c r="Q239" s="397"/>
      <c r="R239" s="397"/>
      <c r="S239" s="397"/>
      <c r="T239" s="397"/>
      <c r="U239" s="397"/>
      <c r="V239" s="397"/>
      <c r="W239" s="397"/>
      <c r="X239" s="397"/>
      <c r="Y239" s="397"/>
      <c r="Z239" s="397"/>
      <c r="AA239" s="397"/>
      <c r="AB239" s="397"/>
      <c r="AC239" s="397"/>
      <c r="AD239" s="397"/>
      <c r="AE239" s="397"/>
      <c r="AF239" s="397"/>
      <c r="AG239" s="397"/>
      <c r="AH239" s="397"/>
      <c r="AI239" s="397"/>
      <c r="AJ239" s="397"/>
      <c r="AK239" s="397"/>
      <c r="AL239" s="397"/>
      <c r="AM239" s="397"/>
      <c r="AN239" s="397"/>
      <c r="AO239" s="397"/>
      <c r="AP239" s="397"/>
      <c r="AQ239" s="397"/>
      <c r="AR239" s="397"/>
      <c r="AS239" s="397"/>
      <c r="AT239" s="397"/>
      <c r="AU239" s="397"/>
      <c r="AV239" s="397"/>
      <c r="AW239" s="397"/>
      <c r="AX239" s="397"/>
      <c r="AY239" s="397"/>
      <c r="AZ239" s="397"/>
      <c r="BA239" s="397"/>
      <c r="BB239" s="397"/>
      <c r="BC239" s="397"/>
      <c r="BD239" s="397"/>
      <c r="BE239" s="397"/>
      <c r="BF239" s="397"/>
      <c r="BG239" s="397"/>
      <c r="BH239" s="397"/>
      <c r="BI239" s="397"/>
      <c r="BJ239" s="397"/>
      <c r="BK239" s="397"/>
      <c r="BL239" s="397"/>
      <c r="BM239" s="397"/>
      <c r="BN239" s="397"/>
    </row>
    <row r="240" spans="5:66" ht="14.25">
      <c r="E240" s="397"/>
      <c r="F240" s="397"/>
      <c r="G240" s="397"/>
      <c r="H240" s="397"/>
      <c r="I240" s="397"/>
      <c r="J240" s="397"/>
      <c r="K240" s="397"/>
      <c r="L240" s="397"/>
      <c r="M240" s="397"/>
      <c r="N240" s="397"/>
      <c r="O240" s="397"/>
      <c r="P240" s="397"/>
      <c r="Q240" s="397"/>
      <c r="R240" s="397"/>
      <c r="S240" s="397"/>
      <c r="T240" s="397"/>
      <c r="U240" s="397"/>
      <c r="V240" s="397"/>
      <c r="W240" s="397"/>
      <c r="X240" s="397"/>
      <c r="Y240" s="397"/>
      <c r="Z240" s="397"/>
      <c r="AA240" s="397"/>
      <c r="AB240" s="397"/>
      <c r="AC240" s="397"/>
      <c r="AD240" s="397"/>
      <c r="AE240" s="397"/>
      <c r="AF240" s="397"/>
      <c r="AG240" s="397"/>
      <c r="AH240" s="397"/>
      <c r="AI240" s="397"/>
      <c r="AJ240" s="397"/>
      <c r="AK240" s="397"/>
      <c r="AL240" s="397"/>
      <c r="AM240" s="397"/>
      <c r="AN240" s="397"/>
      <c r="AO240" s="397"/>
      <c r="AP240" s="397"/>
      <c r="AQ240" s="397"/>
      <c r="AR240" s="397"/>
      <c r="AS240" s="397"/>
      <c r="AT240" s="397"/>
      <c r="AU240" s="397"/>
      <c r="AV240" s="397"/>
      <c r="AW240" s="397"/>
      <c r="AX240" s="397"/>
      <c r="AY240" s="397"/>
      <c r="AZ240" s="397"/>
      <c r="BA240" s="397"/>
      <c r="BB240" s="397"/>
      <c r="BC240" s="397"/>
      <c r="BD240" s="397"/>
      <c r="BE240" s="397"/>
      <c r="BF240" s="397"/>
      <c r="BG240" s="397"/>
      <c r="BH240" s="397"/>
      <c r="BI240" s="397"/>
      <c r="BJ240" s="397"/>
      <c r="BK240" s="397"/>
      <c r="BL240" s="397"/>
      <c r="BM240" s="397"/>
      <c r="BN240" s="397"/>
    </row>
    <row r="241" spans="5:66" ht="14.25">
      <c r="E241" s="397"/>
      <c r="F241" s="397"/>
      <c r="G241" s="397"/>
      <c r="H241" s="397"/>
      <c r="I241" s="397"/>
      <c r="J241" s="397"/>
      <c r="K241" s="397"/>
      <c r="L241" s="397"/>
      <c r="M241" s="397"/>
      <c r="N241" s="397"/>
      <c r="O241" s="397"/>
      <c r="P241" s="397"/>
      <c r="Q241" s="397"/>
      <c r="R241" s="397"/>
      <c r="S241" s="397"/>
      <c r="T241" s="397"/>
      <c r="U241" s="397"/>
      <c r="V241" s="397"/>
      <c r="W241" s="397"/>
      <c r="X241" s="397"/>
      <c r="Y241" s="397"/>
      <c r="Z241" s="397"/>
      <c r="AA241" s="397"/>
      <c r="AB241" s="397"/>
      <c r="AC241" s="397"/>
      <c r="AD241" s="397"/>
      <c r="AE241" s="397"/>
      <c r="AF241" s="397"/>
      <c r="AG241" s="397"/>
      <c r="AH241" s="397"/>
      <c r="AI241" s="397"/>
      <c r="AJ241" s="397"/>
      <c r="AK241" s="397"/>
      <c r="AL241" s="397"/>
      <c r="AM241" s="397"/>
      <c r="AN241" s="397"/>
      <c r="AO241" s="397"/>
      <c r="AP241" s="397"/>
      <c r="AQ241" s="397"/>
      <c r="AR241" s="397"/>
      <c r="AS241" s="397"/>
      <c r="AT241" s="397"/>
      <c r="AU241" s="397"/>
      <c r="AV241" s="397"/>
      <c r="AW241" s="397"/>
      <c r="AX241" s="397"/>
      <c r="AY241" s="397"/>
      <c r="AZ241" s="397"/>
      <c r="BA241" s="397"/>
      <c r="BB241" s="397"/>
      <c r="BC241" s="397"/>
      <c r="BD241" s="397"/>
      <c r="BE241" s="397"/>
      <c r="BF241" s="397"/>
      <c r="BG241" s="397"/>
      <c r="BH241" s="397"/>
      <c r="BI241" s="397"/>
      <c r="BJ241" s="397"/>
      <c r="BK241" s="397"/>
      <c r="BL241" s="397"/>
      <c r="BM241" s="397"/>
      <c r="BN241" s="397"/>
    </row>
    <row r="242" spans="5:66" ht="14.25">
      <c r="E242" s="397"/>
      <c r="F242" s="397"/>
      <c r="G242" s="397"/>
      <c r="H242" s="397"/>
      <c r="I242" s="397"/>
      <c r="J242" s="397"/>
      <c r="K242" s="397"/>
      <c r="L242" s="397"/>
      <c r="M242" s="397"/>
      <c r="N242" s="397"/>
      <c r="O242" s="397"/>
      <c r="P242" s="397"/>
      <c r="Q242" s="397"/>
      <c r="R242" s="397"/>
      <c r="S242" s="397"/>
      <c r="T242" s="397"/>
      <c r="U242" s="397"/>
      <c r="V242" s="397"/>
      <c r="W242" s="397"/>
      <c r="X242" s="397"/>
      <c r="Y242" s="397"/>
      <c r="Z242" s="397"/>
      <c r="AA242" s="397"/>
      <c r="AB242" s="397"/>
      <c r="AC242" s="397"/>
      <c r="AD242" s="397"/>
      <c r="AE242" s="397"/>
      <c r="AF242" s="397"/>
      <c r="AG242" s="397"/>
      <c r="AH242" s="397"/>
      <c r="AI242" s="397"/>
      <c r="AJ242" s="397"/>
      <c r="AK242" s="397"/>
      <c r="AL242" s="397"/>
      <c r="AM242" s="397"/>
      <c r="AN242" s="397"/>
      <c r="AO242" s="397"/>
      <c r="AP242" s="397"/>
      <c r="AQ242" s="397"/>
      <c r="AR242" s="397"/>
      <c r="AS242" s="397"/>
      <c r="AT242" s="397"/>
      <c r="AU242" s="397"/>
      <c r="AV242" s="397"/>
      <c r="AW242" s="397"/>
      <c r="AX242" s="397"/>
      <c r="AY242" s="397"/>
      <c r="AZ242" s="397"/>
      <c r="BA242" s="397"/>
      <c r="BB242" s="397"/>
      <c r="BC242" s="397"/>
      <c r="BD242" s="397"/>
      <c r="BE242" s="397"/>
      <c r="BF242" s="397"/>
      <c r="BG242" s="397"/>
      <c r="BH242" s="397"/>
      <c r="BI242" s="397"/>
      <c r="BJ242" s="397"/>
      <c r="BK242" s="397"/>
      <c r="BL242" s="397"/>
      <c r="BM242" s="397"/>
      <c r="BN242" s="397"/>
    </row>
    <row r="243" spans="5:66" ht="14.25">
      <c r="E243" s="397"/>
      <c r="F243" s="397"/>
      <c r="G243" s="397"/>
      <c r="H243" s="397"/>
      <c r="I243" s="397"/>
      <c r="J243" s="397"/>
      <c r="K243" s="397"/>
      <c r="L243" s="397"/>
      <c r="M243" s="397"/>
      <c r="N243" s="397"/>
      <c r="O243" s="397"/>
      <c r="P243" s="397"/>
      <c r="Q243" s="397"/>
      <c r="R243" s="397"/>
      <c r="S243" s="397"/>
      <c r="T243" s="397"/>
      <c r="U243" s="397"/>
      <c r="V243" s="397"/>
      <c r="W243" s="397"/>
      <c r="X243" s="397"/>
      <c r="Y243" s="397"/>
      <c r="Z243" s="397"/>
      <c r="AA243" s="397"/>
      <c r="AB243" s="397"/>
      <c r="AC243" s="397"/>
      <c r="AD243" s="397"/>
      <c r="AE243" s="397"/>
      <c r="AF243" s="397"/>
      <c r="AG243" s="397"/>
      <c r="AH243" s="397"/>
      <c r="AI243" s="397"/>
      <c r="AJ243" s="397"/>
      <c r="AK243" s="397"/>
      <c r="AL243" s="397"/>
      <c r="AM243" s="397"/>
      <c r="AN243" s="397"/>
      <c r="AO243" s="397"/>
      <c r="AP243" s="397"/>
      <c r="AQ243" s="397"/>
      <c r="AR243" s="397"/>
      <c r="AS243" s="397"/>
      <c r="AT243" s="397"/>
      <c r="AU243" s="397"/>
      <c r="AV243" s="397"/>
      <c r="AW243" s="397"/>
      <c r="AX243" s="397"/>
      <c r="AY243" s="397"/>
      <c r="AZ243" s="397"/>
      <c r="BA243" s="397"/>
      <c r="BB243" s="397"/>
      <c r="BC243" s="397"/>
      <c r="BD243" s="397"/>
      <c r="BE243" s="397"/>
      <c r="BF243" s="397"/>
      <c r="BG243" s="397"/>
      <c r="BH243" s="397"/>
      <c r="BI243" s="397"/>
      <c r="BJ243" s="397"/>
      <c r="BK243" s="397"/>
      <c r="BL243" s="397"/>
      <c r="BM243" s="397"/>
      <c r="BN243" s="397"/>
    </row>
    <row r="244" spans="5:66" ht="14.25">
      <c r="E244" s="397"/>
      <c r="F244" s="397"/>
      <c r="G244" s="397"/>
      <c r="H244" s="397"/>
      <c r="I244" s="397"/>
      <c r="J244" s="397"/>
      <c r="K244" s="397"/>
      <c r="L244" s="397"/>
      <c r="M244" s="397"/>
      <c r="N244" s="397"/>
      <c r="O244" s="397"/>
      <c r="P244" s="397"/>
      <c r="Q244" s="397"/>
      <c r="R244" s="397"/>
      <c r="S244" s="397"/>
      <c r="T244" s="397"/>
      <c r="U244" s="397"/>
      <c r="V244" s="397"/>
      <c r="W244" s="397"/>
      <c r="X244" s="397"/>
      <c r="Y244" s="397"/>
      <c r="Z244" s="397"/>
      <c r="AA244" s="397"/>
      <c r="AB244" s="397"/>
      <c r="AC244" s="397"/>
      <c r="AD244" s="397"/>
      <c r="AE244" s="397"/>
      <c r="AF244" s="397"/>
      <c r="AG244" s="397"/>
      <c r="AH244" s="397"/>
      <c r="AI244" s="397"/>
      <c r="AJ244" s="397"/>
      <c r="AK244" s="397"/>
      <c r="AL244" s="397"/>
      <c r="AM244" s="397"/>
      <c r="AN244" s="397"/>
      <c r="AO244" s="397"/>
      <c r="AP244" s="397"/>
      <c r="AQ244" s="397"/>
      <c r="AR244" s="397"/>
      <c r="AS244" s="397"/>
      <c r="AT244" s="397"/>
      <c r="AU244" s="397"/>
      <c r="AV244" s="397"/>
      <c r="AW244" s="397"/>
      <c r="AX244" s="397"/>
      <c r="AY244" s="397"/>
      <c r="AZ244" s="397"/>
      <c r="BA244" s="397"/>
      <c r="BB244" s="397"/>
      <c r="BC244" s="397"/>
      <c r="BD244" s="397"/>
      <c r="BE244" s="397"/>
      <c r="BF244" s="397"/>
      <c r="BG244" s="397"/>
      <c r="BH244" s="397"/>
      <c r="BI244" s="397"/>
      <c r="BJ244" s="397"/>
      <c r="BK244" s="397"/>
      <c r="BL244" s="397"/>
      <c r="BM244" s="397"/>
      <c r="BN244" s="397"/>
    </row>
    <row r="245" spans="5:66" ht="14.25">
      <c r="E245" s="397"/>
      <c r="F245" s="397"/>
      <c r="G245" s="397"/>
      <c r="H245" s="397"/>
      <c r="I245" s="397"/>
      <c r="J245" s="397"/>
      <c r="K245" s="397"/>
      <c r="L245" s="397"/>
      <c r="M245" s="397"/>
      <c r="N245" s="397"/>
      <c r="O245" s="397"/>
      <c r="P245" s="397"/>
      <c r="Q245" s="397"/>
      <c r="R245" s="397"/>
      <c r="S245" s="397"/>
      <c r="T245" s="397"/>
      <c r="U245" s="397"/>
      <c r="V245" s="397"/>
      <c r="W245" s="397"/>
      <c r="X245" s="397"/>
      <c r="Y245" s="397"/>
      <c r="Z245" s="397"/>
      <c r="AA245" s="397"/>
      <c r="AB245" s="397"/>
      <c r="AC245" s="397"/>
      <c r="AD245" s="397"/>
      <c r="AE245" s="397"/>
      <c r="AF245" s="397"/>
      <c r="AG245" s="397"/>
      <c r="AH245" s="397"/>
      <c r="AI245" s="397"/>
      <c r="AJ245" s="397"/>
      <c r="AK245" s="397"/>
      <c r="AL245" s="397"/>
      <c r="AM245" s="397"/>
      <c r="AN245" s="397"/>
      <c r="AO245" s="397"/>
      <c r="AP245" s="397"/>
      <c r="AQ245" s="397"/>
      <c r="AR245" s="397"/>
      <c r="AS245" s="397"/>
      <c r="AT245" s="397"/>
      <c r="AU245" s="397"/>
      <c r="AV245" s="397"/>
      <c r="AW245" s="397"/>
      <c r="AX245" s="397"/>
      <c r="AY245" s="397"/>
      <c r="AZ245" s="397"/>
      <c r="BA245" s="397"/>
      <c r="BB245" s="397"/>
      <c r="BC245" s="397"/>
      <c r="BD245" s="397"/>
      <c r="BE245" s="397"/>
      <c r="BF245" s="397"/>
      <c r="BG245" s="397"/>
      <c r="BH245" s="397"/>
      <c r="BI245" s="397"/>
      <c r="BJ245" s="397"/>
      <c r="BK245" s="397"/>
      <c r="BL245" s="397"/>
      <c r="BM245" s="397"/>
      <c r="BN245" s="397"/>
    </row>
    <row r="246" spans="5:66" ht="14.25">
      <c r="E246" s="397"/>
      <c r="F246" s="397"/>
      <c r="G246" s="397"/>
      <c r="H246" s="397"/>
      <c r="I246" s="397"/>
      <c r="J246" s="397"/>
      <c r="K246" s="397"/>
      <c r="L246" s="397"/>
      <c r="M246" s="397"/>
      <c r="N246" s="397"/>
      <c r="O246" s="397"/>
      <c r="P246" s="397"/>
      <c r="Q246" s="397"/>
      <c r="R246" s="397"/>
      <c r="S246" s="397"/>
      <c r="T246" s="397"/>
      <c r="U246" s="397"/>
      <c r="V246" s="397"/>
      <c r="W246" s="397"/>
      <c r="X246" s="397"/>
      <c r="Y246" s="397"/>
      <c r="Z246" s="397"/>
      <c r="AA246" s="397"/>
      <c r="AB246" s="397"/>
      <c r="AC246" s="397"/>
      <c r="AD246" s="397"/>
      <c r="AE246" s="397"/>
      <c r="AF246" s="397"/>
      <c r="AG246" s="397"/>
      <c r="AH246" s="397"/>
      <c r="AI246" s="397"/>
      <c r="AJ246" s="397"/>
      <c r="AK246" s="397"/>
      <c r="AL246" s="397"/>
      <c r="AM246" s="397"/>
      <c r="AN246" s="397"/>
      <c r="AO246" s="397"/>
      <c r="AP246" s="397"/>
      <c r="AQ246" s="397"/>
      <c r="AR246" s="397"/>
      <c r="AS246" s="397"/>
      <c r="AT246" s="397"/>
      <c r="AU246" s="397"/>
      <c r="AV246" s="397"/>
      <c r="AW246" s="397"/>
      <c r="AX246" s="397"/>
      <c r="AY246" s="397"/>
      <c r="AZ246" s="397"/>
      <c r="BA246" s="397"/>
      <c r="BB246" s="397"/>
      <c r="BC246" s="397"/>
      <c r="BD246" s="397"/>
      <c r="BE246" s="397"/>
      <c r="BF246" s="397"/>
      <c r="BG246" s="397"/>
      <c r="BH246" s="397"/>
      <c r="BI246" s="397"/>
      <c r="BJ246" s="397"/>
      <c r="BK246" s="397"/>
      <c r="BL246" s="397"/>
      <c r="BM246" s="397"/>
      <c r="BN246" s="397"/>
    </row>
    <row r="247" spans="5:66" ht="14.25">
      <c r="E247" s="397"/>
      <c r="F247" s="397"/>
      <c r="G247" s="397"/>
      <c r="H247" s="397"/>
      <c r="I247" s="397"/>
      <c r="J247" s="397"/>
      <c r="K247" s="397"/>
      <c r="L247" s="397"/>
      <c r="M247" s="397"/>
      <c r="N247" s="397"/>
      <c r="O247" s="397"/>
      <c r="P247" s="397"/>
      <c r="Q247" s="397"/>
      <c r="R247" s="397"/>
      <c r="S247" s="397"/>
      <c r="T247" s="397"/>
      <c r="U247" s="397"/>
      <c r="V247" s="397"/>
      <c r="W247" s="397"/>
      <c r="X247" s="397"/>
      <c r="Y247" s="397"/>
      <c r="Z247" s="397"/>
      <c r="AA247" s="397"/>
      <c r="AB247" s="397"/>
      <c r="AC247" s="397"/>
      <c r="AD247" s="397"/>
      <c r="AE247" s="397"/>
      <c r="AF247" s="397"/>
      <c r="AG247" s="397"/>
      <c r="AH247" s="397"/>
      <c r="AI247" s="397"/>
      <c r="AJ247" s="397"/>
      <c r="AK247" s="397"/>
      <c r="AL247" s="397"/>
      <c r="AM247" s="397"/>
      <c r="AN247" s="397"/>
      <c r="AO247" s="397"/>
      <c r="AP247" s="397"/>
      <c r="AQ247" s="397"/>
      <c r="AR247" s="397"/>
      <c r="AS247" s="397"/>
      <c r="AT247" s="397"/>
      <c r="AU247" s="397"/>
      <c r="AV247" s="397"/>
      <c r="AW247" s="397"/>
      <c r="AX247" s="397"/>
      <c r="AY247" s="397"/>
      <c r="AZ247" s="397"/>
      <c r="BA247" s="397"/>
      <c r="BB247" s="397"/>
      <c r="BC247" s="397"/>
      <c r="BD247" s="397"/>
      <c r="BE247" s="397"/>
      <c r="BF247" s="397"/>
      <c r="BG247" s="397"/>
      <c r="BH247" s="397"/>
      <c r="BI247" s="397"/>
      <c r="BJ247" s="397"/>
      <c r="BK247" s="397"/>
      <c r="BL247" s="397"/>
      <c r="BM247" s="397"/>
      <c r="BN247" s="397"/>
    </row>
    <row r="248" spans="5:66" ht="14.25">
      <c r="E248" s="397"/>
      <c r="F248" s="397"/>
      <c r="G248" s="397"/>
      <c r="H248" s="397"/>
      <c r="I248" s="397"/>
      <c r="J248" s="397"/>
      <c r="K248" s="397"/>
      <c r="L248" s="397"/>
      <c r="M248" s="397"/>
      <c r="N248" s="397"/>
      <c r="O248" s="397"/>
      <c r="P248" s="397"/>
      <c r="Q248" s="397"/>
      <c r="R248" s="397"/>
      <c r="S248" s="397"/>
      <c r="T248" s="397"/>
      <c r="U248" s="397"/>
      <c r="V248" s="397"/>
      <c r="W248" s="397"/>
      <c r="X248" s="397"/>
      <c r="Y248" s="397"/>
      <c r="Z248" s="397"/>
      <c r="AA248" s="397"/>
      <c r="AB248" s="397"/>
      <c r="AC248" s="397"/>
      <c r="AD248" s="397"/>
      <c r="AE248" s="397"/>
      <c r="AF248" s="397"/>
      <c r="AG248" s="397"/>
      <c r="AH248" s="397"/>
      <c r="AI248" s="397"/>
      <c r="AJ248" s="397"/>
      <c r="AK248" s="397"/>
      <c r="AL248" s="397"/>
      <c r="AM248" s="397"/>
      <c r="AN248" s="397"/>
      <c r="AO248" s="397"/>
      <c r="AP248" s="397"/>
      <c r="AQ248" s="397"/>
      <c r="AR248" s="397"/>
      <c r="AS248" s="397"/>
      <c r="AT248" s="397"/>
      <c r="AU248" s="397"/>
      <c r="AV248" s="397"/>
      <c r="AW248" s="397"/>
      <c r="AX248" s="397"/>
      <c r="AY248" s="397"/>
      <c r="AZ248" s="397"/>
      <c r="BA248" s="397"/>
      <c r="BB248" s="397"/>
      <c r="BC248" s="397"/>
      <c r="BD248" s="397"/>
      <c r="BE248" s="397"/>
      <c r="BF248" s="397"/>
      <c r="BG248" s="397"/>
      <c r="BH248" s="397"/>
      <c r="BI248" s="397"/>
      <c r="BJ248" s="397"/>
      <c r="BK248" s="397"/>
      <c r="BL248" s="397"/>
      <c r="BM248" s="397"/>
      <c r="BN248" s="397"/>
    </row>
    <row r="249" spans="5:66" ht="14.25">
      <c r="E249" s="397"/>
      <c r="F249" s="397"/>
      <c r="G249" s="397"/>
      <c r="H249" s="397"/>
      <c r="I249" s="397"/>
      <c r="J249" s="397"/>
      <c r="K249" s="397"/>
      <c r="L249" s="397"/>
      <c r="M249" s="397"/>
      <c r="N249" s="397"/>
      <c r="O249" s="397"/>
      <c r="P249" s="397"/>
      <c r="Q249" s="397"/>
      <c r="R249" s="397"/>
      <c r="S249" s="397"/>
      <c r="T249" s="397"/>
      <c r="U249" s="397"/>
      <c r="V249" s="397"/>
      <c r="W249" s="397"/>
      <c r="X249" s="397"/>
      <c r="Y249" s="397"/>
      <c r="Z249" s="397"/>
      <c r="AA249" s="397"/>
      <c r="AB249" s="397"/>
      <c r="AC249" s="397"/>
      <c r="AD249" s="397"/>
      <c r="AE249" s="397"/>
      <c r="AF249" s="397"/>
      <c r="AG249" s="397"/>
      <c r="AH249" s="397"/>
      <c r="AI249" s="397"/>
      <c r="AJ249" s="397"/>
      <c r="AK249" s="397"/>
      <c r="AL249" s="397"/>
      <c r="AM249" s="397"/>
      <c r="AN249" s="397"/>
      <c r="AO249" s="397"/>
      <c r="AP249" s="397"/>
      <c r="AQ249" s="397"/>
      <c r="AR249" s="397"/>
      <c r="AS249" s="397"/>
      <c r="AT249" s="397"/>
      <c r="AU249" s="397"/>
      <c r="AV249" s="397"/>
      <c r="AW249" s="397"/>
      <c r="AX249" s="397"/>
      <c r="AY249" s="397"/>
      <c r="AZ249" s="397"/>
      <c r="BA249" s="397"/>
      <c r="BB249" s="397"/>
      <c r="BC249" s="397"/>
      <c r="BD249" s="397"/>
      <c r="BE249" s="397"/>
      <c r="BF249" s="397"/>
      <c r="BG249" s="397"/>
      <c r="BH249" s="397"/>
      <c r="BI249" s="397"/>
      <c r="BJ249" s="397"/>
      <c r="BK249" s="397"/>
      <c r="BL249" s="397"/>
      <c r="BM249" s="397"/>
      <c r="BN249" s="397"/>
    </row>
    <row r="250" spans="5:66" ht="14.25">
      <c r="E250" s="397"/>
      <c r="F250" s="397"/>
      <c r="G250" s="397"/>
      <c r="H250" s="397"/>
      <c r="I250" s="397"/>
      <c r="J250" s="397"/>
      <c r="K250" s="397"/>
      <c r="L250" s="397"/>
      <c r="M250" s="397"/>
      <c r="N250" s="397"/>
      <c r="O250" s="397"/>
      <c r="P250" s="397"/>
      <c r="Q250" s="397"/>
      <c r="R250" s="397"/>
      <c r="S250" s="397"/>
      <c r="T250" s="397"/>
      <c r="U250" s="397"/>
      <c r="V250" s="397"/>
      <c r="W250" s="397"/>
      <c r="X250" s="397"/>
      <c r="Y250" s="397"/>
      <c r="Z250" s="397"/>
      <c r="AA250" s="397"/>
      <c r="AB250" s="397"/>
      <c r="AC250" s="397"/>
      <c r="AD250" s="397"/>
      <c r="AE250" s="397"/>
      <c r="AF250" s="397"/>
      <c r="AG250" s="397"/>
      <c r="AH250" s="397"/>
      <c r="AI250" s="397"/>
      <c r="AJ250" s="397"/>
      <c r="AK250" s="397"/>
      <c r="AL250" s="397"/>
      <c r="AM250" s="397"/>
      <c r="AN250" s="397"/>
      <c r="AO250" s="397"/>
      <c r="AP250" s="397"/>
      <c r="AQ250" s="397"/>
      <c r="AR250" s="397"/>
      <c r="AS250" s="397"/>
      <c r="AT250" s="397"/>
      <c r="AU250" s="397"/>
      <c r="AV250" s="397"/>
      <c r="AW250" s="397"/>
      <c r="AX250" s="397"/>
      <c r="AY250" s="397"/>
      <c r="AZ250" s="397"/>
      <c r="BA250" s="397"/>
      <c r="BB250" s="397"/>
      <c r="BC250" s="397"/>
      <c r="BD250" s="397"/>
      <c r="BE250" s="397"/>
      <c r="BF250" s="397"/>
      <c r="BG250" s="397"/>
      <c r="BH250" s="397"/>
      <c r="BI250" s="397"/>
      <c r="BJ250" s="397"/>
      <c r="BK250" s="397"/>
      <c r="BL250" s="397"/>
      <c r="BM250" s="397"/>
      <c r="BN250" s="397"/>
    </row>
    <row r="251" spans="5:66" ht="14.25">
      <c r="E251" s="397"/>
      <c r="F251" s="397"/>
      <c r="G251" s="397"/>
      <c r="H251" s="397"/>
      <c r="I251" s="397"/>
      <c r="J251" s="397"/>
      <c r="K251" s="397"/>
      <c r="L251" s="397"/>
      <c r="M251" s="397"/>
      <c r="N251" s="397"/>
      <c r="O251" s="397"/>
      <c r="P251" s="397"/>
      <c r="Q251" s="397"/>
      <c r="R251" s="397"/>
      <c r="S251" s="397"/>
      <c r="T251" s="397"/>
      <c r="U251" s="397"/>
      <c r="V251" s="397"/>
      <c r="W251" s="397"/>
      <c r="X251" s="397"/>
      <c r="Y251" s="397"/>
      <c r="Z251" s="397"/>
      <c r="AA251" s="397"/>
      <c r="AB251" s="397"/>
      <c r="AC251" s="397"/>
      <c r="AD251" s="397"/>
      <c r="AE251" s="397"/>
      <c r="AF251" s="397"/>
      <c r="AG251" s="397"/>
      <c r="AH251" s="397"/>
      <c r="AI251" s="397"/>
      <c r="AJ251" s="397"/>
      <c r="AK251" s="397"/>
      <c r="AL251" s="397"/>
      <c r="AM251" s="397"/>
      <c r="AN251" s="397"/>
      <c r="AO251" s="397"/>
      <c r="AP251" s="397"/>
      <c r="AQ251" s="397"/>
      <c r="AR251" s="397"/>
      <c r="AS251" s="397"/>
      <c r="AT251" s="397"/>
      <c r="AU251" s="397"/>
      <c r="AV251" s="397"/>
      <c r="AW251" s="397"/>
      <c r="AX251" s="397"/>
      <c r="AY251" s="397"/>
      <c r="AZ251" s="397"/>
      <c r="BA251" s="397"/>
      <c r="BB251" s="397"/>
      <c r="BC251" s="397"/>
      <c r="BD251" s="397"/>
      <c r="BE251" s="397"/>
      <c r="BF251" s="397"/>
      <c r="BG251" s="397"/>
      <c r="BH251" s="397"/>
      <c r="BI251" s="397"/>
      <c r="BJ251" s="397"/>
      <c r="BK251" s="397"/>
      <c r="BL251" s="397"/>
      <c r="BM251" s="397"/>
      <c r="BN251" s="397"/>
    </row>
    <row r="252" spans="5:66" ht="14.25">
      <c r="E252" s="397"/>
      <c r="F252" s="397"/>
      <c r="G252" s="397"/>
      <c r="H252" s="397"/>
      <c r="I252" s="397"/>
      <c r="J252" s="397"/>
      <c r="K252" s="397"/>
      <c r="L252" s="397"/>
      <c r="M252" s="397"/>
      <c r="N252" s="397"/>
      <c r="O252" s="397"/>
      <c r="P252" s="397"/>
      <c r="Q252" s="397"/>
      <c r="R252" s="397"/>
      <c r="S252" s="397"/>
      <c r="T252" s="397"/>
      <c r="U252" s="397"/>
      <c r="V252" s="397"/>
      <c r="W252" s="397"/>
      <c r="X252" s="397"/>
      <c r="Y252" s="397"/>
      <c r="Z252" s="397"/>
      <c r="AA252" s="397"/>
      <c r="AB252" s="397"/>
      <c r="AC252" s="397"/>
      <c r="AD252" s="397"/>
      <c r="AE252" s="397"/>
      <c r="AF252" s="397"/>
      <c r="AG252" s="397"/>
      <c r="AH252" s="397"/>
      <c r="AI252" s="397"/>
      <c r="AJ252" s="397"/>
      <c r="AK252" s="397"/>
      <c r="AL252" s="397"/>
      <c r="AM252" s="397"/>
      <c r="AN252" s="397"/>
      <c r="AO252" s="397"/>
      <c r="AP252" s="397"/>
      <c r="AQ252" s="397"/>
      <c r="AR252" s="397"/>
      <c r="AS252" s="397"/>
      <c r="AT252" s="397"/>
      <c r="AU252" s="397"/>
      <c r="AV252" s="397"/>
      <c r="AW252" s="397"/>
      <c r="AX252" s="397"/>
      <c r="AY252" s="397"/>
      <c r="AZ252" s="397"/>
      <c r="BA252" s="397"/>
      <c r="BB252" s="397"/>
      <c r="BC252" s="397"/>
      <c r="BD252" s="397"/>
      <c r="BE252" s="397"/>
      <c r="BF252" s="397"/>
      <c r="BG252" s="397"/>
      <c r="BH252" s="397"/>
      <c r="BI252" s="397"/>
      <c r="BJ252" s="397"/>
      <c r="BK252" s="397"/>
      <c r="BL252" s="397"/>
      <c r="BM252" s="397"/>
      <c r="BN252" s="397"/>
    </row>
    <row r="253" spans="5:66" ht="14.25">
      <c r="E253" s="397"/>
      <c r="F253" s="397"/>
      <c r="G253" s="397"/>
      <c r="H253" s="397"/>
      <c r="I253" s="397"/>
      <c r="J253" s="397"/>
      <c r="K253" s="397"/>
      <c r="L253" s="397"/>
      <c r="M253" s="397"/>
      <c r="N253" s="397"/>
      <c r="O253" s="397"/>
      <c r="P253" s="397"/>
      <c r="Q253" s="397"/>
      <c r="R253" s="397"/>
      <c r="S253" s="397"/>
      <c r="T253" s="397"/>
      <c r="U253" s="397"/>
      <c r="V253" s="397"/>
      <c r="W253" s="397"/>
      <c r="X253" s="397"/>
      <c r="Y253" s="397"/>
      <c r="Z253" s="397"/>
      <c r="AA253" s="397"/>
      <c r="AB253" s="397"/>
      <c r="AC253" s="397"/>
      <c r="AD253" s="397"/>
      <c r="AE253" s="397"/>
      <c r="AF253" s="397"/>
      <c r="AG253" s="397"/>
      <c r="AH253" s="397"/>
      <c r="AI253" s="397"/>
      <c r="AJ253" s="397"/>
      <c r="AK253" s="397"/>
      <c r="AL253" s="397"/>
      <c r="AM253" s="397"/>
      <c r="AN253" s="397"/>
      <c r="AO253" s="397"/>
      <c r="AP253" s="397"/>
      <c r="AQ253" s="397"/>
      <c r="AR253" s="397"/>
      <c r="AS253" s="397"/>
      <c r="AT253" s="397"/>
      <c r="AU253" s="397"/>
      <c r="AV253" s="397"/>
      <c r="AW253" s="397"/>
      <c r="AX253" s="397"/>
      <c r="AY253" s="397"/>
      <c r="AZ253" s="397"/>
      <c r="BA253" s="397"/>
      <c r="BB253" s="397"/>
      <c r="BC253" s="397"/>
      <c r="BD253" s="397"/>
      <c r="BE253" s="397"/>
      <c r="BF253" s="397"/>
      <c r="BG253" s="397"/>
      <c r="BH253" s="397"/>
      <c r="BI253" s="397"/>
      <c r="BJ253" s="397"/>
      <c r="BK253" s="397"/>
      <c r="BL253" s="397"/>
      <c r="BM253" s="397"/>
      <c r="BN253" s="397"/>
    </row>
    <row r="254" spans="5:66" ht="14.25">
      <c r="E254" s="397"/>
      <c r="F254" s="397"/>
      <c r="G254" s="397"/>
      <c r="H254" s="397"/>
      <c r="I254" s="397"/>
      <c r="J254" s="397"/>
      <c r="K254" s="397"/>
      <c r="L254" s="397"/>
      <c r="M254" s="397"/>
      <c r="N254" s="397"/>
      <c r="O254" s="397"/>
      <c r="P254" s="397"/>
      <c r="Q254" s="397"/>
      <c r="R254" s="397"/>
      <c r="S254" s="397"/>
      <c r="T254" s="397"/>
      <c r="U254" s="397"/>
      <c r="V254" s="397"/>
      <c r="W254" s="397"/>
      <c r="X254" s="397"/>
      <c r="Y254" s="397"/>
      <c r="Z254" s="397"/>
      <c r="AA254" s="397"/>
      <c r="AB254" s="397"/>
      <c r="AC254" s="397"/>
      <c r="AD254" s="397"/>
      <c r="AE254" s="397"/>
      <c r="AF254" s="397"/>
      <c r="AG254" s="397"/>
      <c r="AH254" s="397"/>
      <c r="AI254" s="397"/>
      <c r="AJ254" s="397"/>
      <c r="AK254" s="397"/>
      <c r="AL254" s="397"/>
      <c r="AM254" s="397"/>
      <c r="AN254" s="397"/>
      <c r="AO254" s="397"/>
      <c r="AP254" s="397"/>
      <c r="AQ254" s="397"/>
      <c r="AR254" s="397"/>
      <c r="AS254" s="397"/>
      <c r="AT254" s="397"/>
      <c r="AU254" s="397"/>
      <c r="AV254" s="397"/>
      <c r="AW254" s="397"/>
      <c r="AX254" s="397"/>
      <c r="AY254" s="397"/>
      <c r="AZ254" s="397"/>
      <c r="BA254" s="397"/>
      <c r="BB254" s="397"/>
      <c r="BC254" s="397"/>
      <c r="BD254" s="397"/>
      <c r="BE254" s="397"/>
      <c r="BF254" s="397"/>
      <c r="BG254" s="397"/>
      <c r="BH254" s="397"/>
      <c r="BI254" s="397"/>
      <c r="BJ254" s="397"/>
      <c r="BK254" s="397"/>
      <c r="BL254" s="397"/>
      <c r="BM254" s="397"/>
      <c r="BN254" s="397"/>
    </row>
    <row r="255" spans="5:66" ht="14.25">
      <c r="E255" s="397"/>
      <c r="F255" s="397"/>
      <c r="G255" s="397"/>
      <c r="H255" s="397"/>
      <c r="I255" s="397"/>
      <c r="J255" s="397"/>
      <c r="K255" s="397"/>
      <c r="L255" s="397"/>
      <c r="M255" s="397"/>
      <c r="N255" s="397"/>
      <c r="O255" s="397"/>
      <c r="P255" s="397"/>
      <c r="Q255" s="397"/>
      <c r="R255" s="397"/>
      <c r="S255" s="397"/>
      <c r="T255" s="397"/>
      <c r="U255" s="397"/>
      <c r="V255" s="397"/>
      <c r="W255" s="397"/>
      <c r="X255" s="397"/>
      <c r="Y255" s="397"/>
      <c r="Z255" s="397"/>
      <c r="AA255" s="397"/>
      <c r="AB255" s="397"/>
      <c r="AC255" s="397"/>
      <c r="AD255" s="397"/>
      <c r="AE255" s="397"/>
      <c r="AF255" s="397"/>
      <c r="AG255" s="397"/>
      <c r="AH255" s="397"/>
      <c r="AI255" s="397"/>
      <c r="AJ255" s="397"/>
      <c r="AK255" s="397"/>
      <c r="AL255" s="397"/>
      <c r="AM255" s="397"/>
      <c r="AN255" s="397"/>
      <c r="AO255" s="397"/>
      <c r="AP255" s="397"/>
      <c r="AQ255" s="397"/>
      <c r="AR255" s="397"/>
      <c r="AS255" s="397"/>
      <c r="AT255" s="397"/>
      <c r="AU255" s="397"/>
      <c r="AV255" s="397"/>
      <c r="AW255" s="397"/>
      <c r="AX255" s="397"/>
      <c r="AY255" s="397"/>
      <c r="AZ255" s="397"/>
      <c r="BA255" s="397"/>
      <c r="BB255" s="397"/>
      <c r="BC255" s="397"/>
      <c r="BD255" s="397"/>
      <c r="BE255" s="397"/>
      <c r="BF255" s="397"/>
      <c r="BG255" s="397"/>
      <c r="BH255" s="397"/>
      <c r="BI255" s="397"/>
      <c r="BJ255" s="397"/>
      <c r="BK255" s="397"/>
      <c r="BL255" s="397"/>
      <c r="BM255" s="397"/>
      <c r="BN255" s="397"/>
    </row>
    <row r="256" spans="5:66" ht="14.25">
      <c r="E256" s="397"/>
      <c r="F256" s="397"/>
      <c r="G256" s="397"/>
      <c r="H256" s="397"/>
      <c r="I256" s="397"/>
      <c r="J256" s="397"/>
      <c r="K256" s="397"/>
      <c r="L256" s="397"/>
      <c r="M256" s="397"/>
      <c r="N256" s="397"/>
      <c r="O256" s="397"/>
      <c r="P256" s="397"/>
      <c r="Q256" s="397"/>
      <c r="R256" s="397"/>
      <c r="S256" s="397"/>
      <c r="T256" s="397"/>
      <c r="U256" s="397"/>
      <c r="V256" s="397"/>
      <c r="W256" s="397"/>
      <c r="X256" s="397"/>
      <c r="Y256" s="397"/>
      <c r="Z256" s="397"/>
      <c r="AA256" s="397"/>
      <c r="AB256" s="397"/>
      <c r="AC256" s="397"/>
      <c r="AD256" s="397"/>
      <c r="AE256" s="397"/>
      <c r="AF256" s="397"/>
      <c r="AG256" s="397"/>
      <c r="AH256" s="397"/>
      <c r="AI256" s="397"/>
      <c r="AJ256" s="397"/>
      <c r="AK256" s="397"/>
      <c r="AL256" s="397"/>
      <c r="AM256" s="397"/>
      <c r="AN256" s="397"/>
      <c r="AO256" s="397"/>
      <c r="AP256" s="397"/>
      <c r="AQ256" s="397"/>
      <c r="AR256" s="397"/>
      <c r="AS256" s="397"/>
      <c r="AT256" s="397"/>
      <c r="AU256" s="397"/>
      <c r="AV256" s="397"/>
      <c r="AW256" s="397"/>
      <c r="AX256" s="397"/>
      <c r="AY256" s="397"/>
      <c r="AZ256" s="397"/>
      <c r="BA256" s="397"/>
      <c r="BB256" s="397"/>
      <c r="BC256" s="397"/>
      <c r="BD256" s="397"/>
      <c r="BE256" s="397"/>
      <c r="BF256" s="397"/>
      <c r="BG256" s="397"/>
      <c r="BH256" s="397"/>
      <c r="BI256" s="397"/>
      <c r="BJ256" s="397"/>
      <c r="BK256" s="397"/>
      <c r="BL256" s="397"/>
      <c r="BM256" s="397"/>
      <c r="BN256" s="397"/>
    </row>
    <row r="257" spans="5:66" ht="14.25">
      <c r="E257" s="397"/>
      <c r="F257" s="397"/>
      <c r="G257" s="397"/>
      <c r="H257" s="397"/>
      <c r="I257" s="397"/>
      <c r="J257" s="397"/>
      <c r="K257" s="397"/>
      <c r="L257" s="397"/>
      <c r="M257" s="397"/>
      <c r="N257" s="397"/>
      <c r="O257" s="397"/>
      <c r="P257" s="397"/>
      <c r="Q257" s="397"/>
      <c r="R257" s="397"/>
      <c r="S257" s="397"/>
      <c r="T257" s="397"/>
      <c r="U257" s="397"/>
      <c r="V257" s="397"/>
      <c r="W257" s="397"/>
      <c r="X257" s="397"/>
      <c r="Y257" s="397"/>
      <c r="Z257" s="397"/>
      <c r="AA257" s="397"/>
      <c r="AB257" s="397"/>
      <c r="AC257" s="397"/>
      <c r="AD257" s="397"/>
      <c r="AE257" s="397"/>
      <c r="AF257" s="397"/>
      <c r="AG257" s="397"/>
      <c r="AH257" s="397"/>
      <c r="AI257" s="397"/>
      <c r="AJ257" s="397"/>
      <c r="AK257" s="397"/>
      <c r="AL257" s="397"/>
      <c r="AM257" s="397"/>
      <c r="AN257" s="397"/>
      <c r="AO257" s="397"/>
      <c r="AP257" s="397"/>
      <c r="AQ257" s="397"/>
      <c r="AR257" s="397"/>
      <c r="AS257" s="397"/>
      <c r="AT257" s="397"/>
      <c r="AU257" s="397"/>
      <c r="AV257" s="397"/>
      <c r="AW257" s="397"/>
      <c r="AX257" s="397"/>
      <c r="AY257" s="397"/>
      <c r="AZ257" s="397"/>
      <c r="BA257" s="397"/>
      <c r="BB257" s="397"/>
      <c r="BC257" s="397"/>
      <c r="BD257" s="397"/>
      <c r="BE257" s="397"/>
      <c r="BF257" s="397"/>
      <c r="BG257" s="397"/>
      <c r="BH257" s="397"/>
      <c r="BI257" s="397"/>
      <c r="BJ257" s="397"/>
      <c r="BK257" s="397"/>
      <c r="BL257" s="397"/>
      <c r="BM257" s="397"/>
      <c r="BN257" s="397"/>
    </row>
    <row r="258" spans="5:66" ht="14.25">
      <c r="E258" s="397"/>
      <c r="F258" s="397"/>
      <c r="G258" s="397"/>
      <c r="H258" s="397"/>
      <c r="I258" s="397"/>
      <c r="J258" s="397"/>
      <c r="K258" s="397"/>
      <c r="L258" s="397"/>
      <c r="M258" s="397"/>
      <c r="N258" s="397"/>
      <c r="O258" s="397"/>
      <c r="P258" s="397"/>
      <c r="Q258" s="397"/>
      <c r="R258" s="397"/>
      <c r="S258" s="397"/>
      <c r="T258" s="397"/>
      <c r="U258" s="397"/>
      <c r="V258" s="397"/>
      <c r="W258" s="397"/>
      <c r="X258" s="397"/>
      <c r="Y258" s="397"/>
      <c r="Z258" s="397"/>
      <c r="AA258" s="397"/>
      <c r="AB258" s="397"/>
      <c r="AC258" s="397"/>
      <c r="AD258" s="397"/>
      <c r="AE258" s="397"/>
      <c r="AF258" s="397"/>
      <c r="AG258" s="397"/>
      <c r="AH258" s="397"/>
      <c r="AI258" s="397"/>
      <c r="AJ258" s="397"/>
      <c r="AK258" s="397"/>
      <c r="AL258" s="397"/>
      <c r="AM258" s="397"/>
      <c r="AN258" s="397"/>
      <c r="AO258" s="397"/>
      <c r="AP258" s="397"/>
      <c r="AQ258" s="397"/>
      <c r="AR258" s="397"/>
      <c r="AS258" s="397"/>
      <c r="AT258" s="397"/>
      <c r="AU258" s="397"/>
      <c r="AV258" s="397"/>
      <c r="AW258" s="397"/>
      <c r="AX258" s="397"/>
      <c r="AY258" s="397"/>
      <c r="AZ258" s="397"/>
      <c r="BA258" s="397"/>
      <c r="BB258" s="397"/>
      <c r="BC258" s="397"/>
      <c r="BD258" s="397"/>
      <c r="BE258" s="397"/>
      <c r="BF258" s="397"/>
      <c r="BG258" s="397"/>
      <c r="BH258" s="397"/>
      <c r="BI258" s="397"/>
      <c r="BJ258" s="397"/>
      <c r="BK258" s="397"/>
      <c r="BL258" s="397"/>
      <c r="BM258" s="397"/>
      <c r="BN258" s="397"/>
    </row>
    <row r="259" spans="5:66" ht="14.25">
      <c r="E259" s="397"/>
      <c r="F259" s="397"/>
      <c r="G259" s="397"/>
      <c r="H259" s="397"/>
      <c r="I259" s="397"/>
      <c r="J259" s="397"/>
      <c r="K259" s="397"/>
      <c r="L259" s="397"/>
      <c r="M259" s="397"/>
      <c r="N259" s="397"/>
      <c r="O259" s="397"/>
      <c r="P259" s="397"/>
      <c r="Q259" s="397"/>
      <c r="R259" s="397"/>
      <c r="S259" s="397"/>
      <c r="T259" s="397"/>
      <c r="U259" s="397"/>
      <c r="V259" s="397"/>
      <c r="W259" s="397"/>
      <c r="X259" s="397"/>
      <c r="Y259" s="397"/>
      <c r="Z259" s="397"/>
      <c r="AA259" s="397"/>
      <c r="AB259" s="397"/>
      <c r="AC259" s="397"/>
      <c r="AD259" s="397"/>
      <c r="AE259" s="397"/>
      <c r="AF259" s="397"/>
      <c r="AG259" s="397"/>
      <c r="AH259" s="397"/>
      <c r="AI259" s="397"/>
      <c r="AJ259" s="397"/>
      <c r="AK259" s="397"/>
      <c r="AL259" s="397"/>
      <c r="AM259" s="397"/>
      <c r="AN259" s="397"/>
      <c r="AO259" s="397"/>
      <c r="AP259" s="397"/>
      <c r="AQ259" s="397"/>
      <c r="AR259" s="397"/>
      <c r="AS259" s="397"/>
      <c r="AT259" s="397"/>
      <c r="AU259" s="397"/>
      <c r="AV259" s="397"/>
      <c r="AW259" s="397"/>
      <c r="AX259" s="397"/>
      <c r="AY259" s="397"/>
      <c r="AZ259" s="397"/>
      <c r="BA259" s="397"/>
      <c r="BB259" s="397"/>
      <c r="BC259" s="397"/>
      <c r="BD259" s="397"/>
      <c r="BE259" s="397"/>
      <c r="BF259" s="397"/>
      <c r="BG259" s="397"/>
      <c r="BH259" s="397"/>
      <c r="BI259" s="397"/>
      <c r="BJ259" s="397"/>
      <c r="BK259" s="397"/>
      <c r="BL259" s="397"/>
      <c r="BM259" s="397"/>
      <c r="BN259" s="397"/>
    </row>
    <row r="260" spans="5:66" ht="14.25">
      <c r="E260" s="397"/>
      <c r="F260" s="397"/>
      <c r="G260" s="397"/>
      <c r="H260" s="397"/>
      <c r="I260" s="397"/>
      <c r="J260" s="397"/>
      <c r="K260" s="397"/>
      <c r="L260" s="397"/>
      <c r="M260" s="397"/>
      <c r="N260" s="397"/>
      <c r="O260" s="397"/>
      <c r="P260" s="397"/>
      <c r="Q260" s="397"/>
      <c r="R260" s="397"/>
      <c r="S260" s="397"/>
      <c r="T260" s="397"/>
      <c r="U260" s="397"/>
      <c r="V260" s="397"/>
      <c r="W260" s="397"/>
      <c r="X260" s="397"/>
      <c r="Y260" s="397"/>
      <c r="Z260" s="397"/>
      <c r="AA260" s="397"/>
      <c r="AB260" s="397"/>
      <c r="AC260" s="397"/>
      <c r="AD260" s="397"/>
      <c r="AE260" s="397"/>
      <c r="AF260" s="397"/>
      <c r="AG260" s="397"/>
      <c r="AH260" s="397"/>
      <c r="AI260" s="397"/>
      <c r="AJ260" s="397"/>
      <c r="AK260" s="397"/>
      <c r="AL260" s="397"/>
      <c r="AM260" s="397"/>
      <c r="AN260" s="397"/>
      <c r="AO260" s="397"/>
      <c r="AP260" s="397"/>
      <c r="AQ260" s="397"/>
      <c r="AR260" s="397"/>
      <c r="AS260" s="397"/>
      <c r="AT260" s="397"/>
      <c r="AU260" s="397"/>
      <c r="AV260" s="397"/>
      <c r="AW260" s="397"/>
      <c r="AX260" s="397"/>
      <c r="AY260" s="397"/>
      <c r="AZ260" s="397"/>
      <c r="BA260" s="397"/>
      <c r="BB260" s="397"/>
      <c r="BC260" s="397"/>
      <c r="BD260" s="397"/>
      <c r="BE260" s="397"/>
      <c r="BF260" s="397"/>
      <c r="BG260" s="397"/>
      <c r="BH260" s="397"/>
      <c r="BI260" s="397"/>
      <c r="BJ260" s="397"/>
      <c r="BK260" s="397"/>
      <c r="BL260" s="397"/>
      <c r="BM260" s="397"/>
      <c r="BN260" s="397"/>
    </row>
    <row r="261" spans="5:66" ht="14.25">
      <c r="E261" s="397"/>
      <c r="F261" s="397"/>
      <c r="G261" s="397"/>
      <c r="H261" s="397"/>
      <c r="I261" s="397"/>
      <c r="J261" s="397"/>
      <c r="K261" s="397"/>
      <c r="L261" s="397"/>
      <c r="M261" s="397"/>
      <c r="N261" s="397"/>
      <c r="O261" s="397"/>
      <c r="P261" s="397"/>
      <c r="Q261" s="397"/>
      <c r="R261" s="397"/>
      <c r="S261" s="397"/>
      <c r="T261" s="397"/>
      <c r="U261" s="397"/>
      <c r="V261" s="397"/>
      <c r="W261" s="397"/>
      <c r="X261" s="397"/>
      <c r="Y261" s="397"/>
      <c r="Z261" s="397"/>
      <c r="AA261" s="397"/>
      <c r="AB261" s="397"/>
      <c r="AC261" s="397"/>
      <c r="AD261" s="397"/>
      <c r="AE261" s="397"/>
      <c r="AF261" s="397"/>
      <c r="AG261" s="397"/>
      <c r="AH261" s="397"/>
      <c r="AI261" s="397"/>
      <c r="AJ261" s="397"/>
      <c r="AK261" s="397"/>
      <c r="AL261" s="397"/>
      <c r="AM261" s="397"/>
      <c r="AN261" s="397"/>
      <c r="AO261" s="397"/>
      <c r="AP261" s="397"/>
      <c r="AQ261" s="397"/>
      <c r="AR261" s="397"/>
      <c r="AS261" s="397"/>
      <c r="AT261" s="397"/>
      <c r="AU261" s="397"/>
      <c r="AV261" s="397"/>
      <c r="AW261" s="397"/>
      <c r="AX261" s="397"/>
      <c r="AY261" s="397"/>
      <c r="AZ261" s="397"/>
      <c r="BA261" s="397"/>
      <c r="BB261" s="397"/>
      <c r="BC261" s="397"/>
      <c r="BD261" s="397"/>
      <c r="BE261" s="397"/>
      <c r="BF261" s="397"/>
      <c r="BG261" s="397"/>
      <c r="BH261" s="397"/>
      <c r="BI261" s="397"/>
      <c r="BJ261" s="397"/>
      <c r="BK261" s="397"/>
      <c r="BL261" s="397"/>
      <c r="BM261" s="397"/>
      <c r="BN261" s="397"/>
    </row>
    <row r="262" spans="5:66" ht="14.25">
      <c r="E262" s="397"/>
      <c r="F262" s="397"/>
      <c r="G262" s="397"/>
      <c r="H262" s="397"/>
      <c r="I262" s="397"/>
      <c r="J262" s="397"/>
      <c r="K262" s="397"/>
      <c r="L262" s="397"/>
      <c r="M262" s="397"/>
      <c r="N262" s="397"/>
      <c r="O262" s="397"/>
      <c r="P262" s="397"/>
      <c r="Q262" s="397"/>
      <c r="R262" s="397"/>
      <c r="S262" s="397"/>
      <c r="T262" s="397"/>
      <c r="U262" s="397"/>
      <c r="V262" s="397"/>
      <c r="W262" s="397"/>
      <c r="X262" s="397"/>
      <c r="Y262" s="397"/>
      <c r="Z262" s="397"/>
      <c r="AA262" s="397"/>
      <c r="AB262" s="397"/>
      <c r="AC262" s="397"/>
      <c r="AD262" s="397"/>
      <c r="AE262" s="397"/>
      <c r="AF262" s="397"/>
      <c r="AG262" s="397"/>
      <c r="AH262" s="397"/>
      <c r="AI262" s="397"/>
      <c r="AJ262" s="397"/>
      <c r="AK262" s="397"/>
      <c r="AL262" s="397"/>
      <c r="AM262" s="397"/>
      <c r="AN262" s="397"/>
      <c r="AO262" s="397"/>
      <c r="AP262" s="397"/>
      <c r="AQ262" s="397"/>
      <c r="AR262" s="397"/>
      <c r="AS262" s="397"/>
      <c r="AT262" s="397"/>
      <c r="AU262" s="397"/>
      <c r="AV262" s="397"/>
      <c r="AW262" s="397"/>
      <c r="AX262" s="397"/>
      <c r="AY262" s="397"/>
      <c r="AZ262" s="397"/>
      <c r="BA262" s="397"/>
      <c r="BB262" s="397"/>
      <c r="BC262" s="397"/>
      <c r="BD262" s="397"/>
      <c r="BE262" s="397"/>
      <c r="BF262" s="397"/>
      <c r="BG262" s="397"/>
      <c r="BH262" s="397"/>
      <c r="BI262" s="397"/>
      <c r="BJ262" s="397"/>
      <c r="BK262" s="397"/>
      <c r="BL262" s="397"/>
      <c r="BM262" s="397"/>
      <c r="BN262" s="397"/>
    </row>
    <row r="263" spans="5:66" ht="14.25">
      <c r="E263" s="397"/>
      <c r="F263" s="397"/>
      <c r="G263" s="397"/>
      <c r="H263" s="397"/>
      <c r="I263" s="397"/>
      <c r="J263" s="397"/>
      <c r="K263" s="397"/>
      <c r="L263" s="397"/>
      <c r="M263" s="397"/>
      <c r="N263" s="397"/>
      <c r="O263" s="397"/>
      <c r="P263" s="397"/>
      <c r="Q263" s="397"/>
      <c r="R263" s="397"/>
      <c r="S263" s="397"/>
      <c r="T263" s="397"/>
      <c r="U263" s="397"/>
      <c r="V263" s="397"/>
      <c r="W263" s="397"/>
      <c r="X263" s="397"/>
      <c r="Y263" s="397"/>
      <c r="Z263" s="397"/>
      <c r="AA263" s="397"/>
      <c r="AB263" s="397"/>
      <c r="AC263" s="397"/>
      <c r="AD263" s="397"/>
      <c r="AE263" s="397"/>
      <c r="AF263" s="397"/>
      <c r="AG263" s="397"/>
      <c r="AH263" s="397"/>
      <c r="AI263" s="397"/>
      <c r="AJ263" s="397"/>
      <c r="AK263" s="397"/>
      <c r="AL263" s="397"/>
      <c r="AM263" s="397"/>
      <c r="AN263" s="397"/>
      <c r="AO263" s="397"/>
      <c r="AP263" s="397"/>
      <c r="AQ263" s="397"/>
      <c r="AR263" s="397"/>
      <c r="AS263" s="397"/>
      <c r="AT263" s="397"/>
      <c r="AU263" s="397"/>
      <c r="AV263" s="397"/>
      <c r="AW263" s="397"/>
      <c r="AX263" s="397"/>
      <c r="AY263" s="397"/>
      <c r="AZ263" s="397"/>
      <c r="BA263" s="397"/>
      <c r="BB263" s="397"/>
      <c r="BC263" s="397"/>
      <c r="BD263" s="397"/>
      <c r="BE263" s="397"/>
      <c r="BF263" s="397"/>
      <c r="BG263" s="397"/>
      <c r="BH263" s="397"/>
      <c r="BI263" s="397"/>
      <c r="BJ263" s="397"/>
      <c r="BK263" s="397"/>
      <c r="BL263" s="397"/>
      <c r="BM263" s="397"/>
      <c r="BN263" s="397"/>
    </row>
    <row r="264" spans="5:66" ht="14.25">
      <c r="E264" s="397"/>
      <c r="F264" s="397"/>
      <c r="G264" s="397"/>
      <c r="H264" s="397"/>
      <c r="I264" s="397"/>
      <c r="J264" s="397"/>
      <c r="K264" s="397"/>
      <c r="L264" s="397"/>
      <c r="M264" s="397"/>
      <c r="N264" s="397"/>
      <c r="O264" s="397"/>
      <c r="P264" s="397"/>
      <c r="Q264" s="397"/>
      <c r="R264" s="397"/>
      <c r="S264" s="397"/>
      <c r="T264" s="397"/>
      <c r="U264" s="397"/>
      <c r="V264" s="397"/>
      <c r="W264" s="397"/>
      <c r="X264" s="397"/>
      <c r="Y264" s="397"/>
      <c r="Z264" s="397"/>
      <c r="AA264" s="397"/>
      <c r="AB264" s="397"/>
      <c r="AC264" s="397"/>
      <c r="AD264" s="397"/>
      <c r="AE264" s="397"/>
      <c r="AF264" s="397"/>
      <c r="AG264" s="397"/>
      <c r="AH264" s="397"/>
      <c r="AI264" s="397"/>
      <c r="AJ264" s="397"/>
      <c r="AK264" s="397"/>
      <c r="AL264" s="397"/>
      <c r="AM264" s="397"/>
      <c r="AN264" s="397"/>
      <c r="AO264" s="397"/>
      <c r="AP264" s="397"/>
      <c r="AQ264" s="397"/>
      <c r="AR264" s="397"/>
      <c r="AS264" s="397"/>
      <c r="AT264" s="397"/>
      <c r="AU264" s="397"/>
      <c r="AV264" s="397"/>
      <c r="AW264" s="397"/>
      <c r="AX264" s="397"/>
      <c r="AY264" s="397"/>
      <c r="AZ264" s="397"/>
      <c r="BA264" s="397"/>
      <c r="BB264" s="397"/>
      <c r="BC264" s="397"/>
      <c r="BD264" s="397"/>
      <c r="BE264" s="397"/>
      <c r="BF264" s="397"/>
      <c r="BG264" s="397"/>
      <c r="BH264" s="397"/>
      <c r="BI264" s="397"/>
      <c r="BJ264" s="397"/>
      <c r="BK264" s="397"/>
      <c r="BL264" s="397"/>
      <c r="BM264" s="397"/>
      <c r="BN264" s="397"/>
    </row>
    <row r="265" spans="5:66" ht="14.25">
      <c r="E265" s="397"/>
      <c r="F265" s="397"/>
      <c r="G265" s="397"/>
      <c r="H265" s="397"/>
      <c r="I265" s="397"/>
      <c r="J265" s="397"/>
      <c r="K265" s="397"/>
      <c r="L265" s="397"/>
      <c r="M265" s="397"/>
      <c r="N265" s="397"/>
      <c r="O265" s="397"/>
      <c r="P265" s="397"/>
      <c r="Q265" s="397"/>
      <c r="R265" s="397"/>
      <c r="S265" s="397"/>
      <c r="T265" s="397"/>
      <c r="U265" s="397"/>
      <c r="V265" s="397"/>
      <c r="W265" s="397"/>
      <c r="X265" s="397"/>
      <c r="Y265" s="397"/>
      <c r="Z265" s="397"/>
      <c r="AA265" s="397"/>
      <c r="AB265" s="397"/>
      <c r="AC265" s="397"/>
      <c r="AD265" s="397"/>
      <c r="AE265" s="397"/>
      <c r="AF265" s="397"/>
      <c r="AG265" s="397"/>
      <c r="AH265" s="397"/>
      <c r="AI265" s="397"/>
      <c r="AJ265" s="397"/>
      <c r="AK265" s="397"/>
      <c r="AL265" s="397"/>
      <c r="AM265" s="397"/>
      <c r="AN265" s="397"/>
      <c r="AO265" s="397"/>
      <c r="AP265" s="397"/>
      <c r="AQ265" s="397"/>
      <c r="AR265" s="397"/>
      <c r="AS265" s="397"/>
      <c r="AT265" s="397"/>
      <c r="AU265" s="397"/>
      <c r="AV265" s="397"/>
      <c r="AW265" s="397"/>
      <c r="AX265" s="397"/>
      <c r="AY265" s="397"/>
      <c r="AZ265" s="397"/>
      <c r="BA265" s="397"/>
      <c r="BB265" s="397"/>
      <c r="BC265" s="397"/>
      <c r="BD265" s="397"/>
      <c r="BE265" s="397"/>
      <c r="BF265" s="397"/>
      <c r="BG265" s="397"/>
      <c r="BH265" s="397"/>
      <c r="BI265" s="397"/>
      <c r="BJ265" s="397"/>
      <c r="BK265" s="397"/>
      <c r="BL265" s="397"/>
      <c r="BM265" s="397"/>
      <c r="BN265" s="397"/>
    </row>
    <row r="266" spans="5:66" ht="14.25">
      <c r="E266" s="397"/>
      <c r="F266" s="397"/>
      <c r="G266" s="397"/>
      <c r="H266" s="397"/>
      <c r="I266" s="397"/>
      <c r="J266" s="397"/>
      <c r="K266" s="397"/>
      <c r="L266" s="397"/>
      <c r="M266" s="397"/>
      <c r="N266" s="397"/>
      <c r="O266" s="397"/>
      <c r="P266" s="397"/>
      <c r="Q266" s="397"/>
      <c r="R266" s="397"/>
      <c r="S266" s="397"/>
      <c r="T266" s="397"/>
      <c r="U266" s="397"/>
      <c r="V266" s="397"/>
      <c r="W266" s="397"/>
      <c r="X266" s="397"/>
      <c r="Y266" s="397"/>
      <c r="Z266" s="397"/>
      <c r="AA266" s="397"/>
      <c r="AB266" s="397"/>
      <c r="AC266" s="397"/>
      <c r="AD266" s="397"/>
      <c r="AE266" s="397"/>
      <c r="AF266" s="397"/>
      <c r="AG266" s="397"/>
      <c r="AH266" s="397"/>
      <c r="AI266" s="397"/>
      <c r="AJ266" s="397"/>
      <c r="AK266" s="397"/>
      <c r="AL266" s="397"/>
      <c r="AM266" s="397"/>
      <c r="AN266" s="397"/>
      <c r="AO266" s="397"/>
      <c r="AP266" s="397"/>
      <c r="AQ266" s="397"/>
      <c r="AR266" s="397"/>
      <c r="AS266" s="397"/>
      <c r="AT266" s="397"/>
      <c r="AU266" s="397"/>
      <c r="AV266" s="397"/>
      <c r="AW266" s="397"/>
      <c r="AX266" s="397"/>
      <c r="AY266" s="397"/>
      <c r="AZ266" s="397"/>
      <c r="BA266" s="397"/>
      <c r="BB266" s="397"/>
      <c r="BC266" s="397"/>
      <c r="BD266" s="397"/>
      <c r="BE266" s="397"/>
      <c r="BF266" s="397"/>
      <c r="BG266" s="397"/>
      <c r="BH266" s="397"/>
      <c r="BI266" s="397"/>
      <c r="BJ266" s="397"/>
      <c r="BK266" s="397"/>
      <c r="BL266" s="397"/>
      <c r="BM266" s="397"/>
      <c r="BN266" s="397"/>
    </row>
    <row r="267" spans="5:66" ht="14.25">
      <c r="E267" s="397"/>
      <c r="F267" s="397"/>
      <c r="G267" s="397"/>
      <c r="H267" s="397"/>
      <c r="I267" s="397"/>
      <c r="J267" s="397"/>
      <c r="K267" s="397"/>
      <c r="L267" s="397"/>
      <c r="M267" s="397"/>
      <c r="N267" s="397"/>
      <c r="O267" s="397"/>
      <c r="P267" s="397"/>
      <c r="Q267" s="397"/>
      <c r="R267" s="397"/>
      <c r="S267" s="397"/>
      <c r="T267" s="397"/>
      <c r="U267" s="397"/>
      <c r="V267" s="397"/>
      <c r="W267" s="397"/>
      <c r="X267" s="397"/>
      <c r="Y267" s="397"/>
      <c r="Z267" s="397"/>
      <c r="AA267" s="397"/>
      <c r="AB267" s="397"/>
      <c r="AC267" s="397"/>
      <c r="AD267" s="397"/>
      <c r="AE267" s="397"/>
      <c r="AF267" s="397"/>
      <c r="AG267" s="397"/>
      <c r="AH267" s="397"/>
      <c r="AI267" s="397"/>
      <c r="AJ267" s="397"/>
      <c r="AK267" s="397"/>
      <c r="AL267" s="397"/>
      <c r="AM267" s="397"/>
      <c r="AN267" s="397"/>
      <c r="AO267" s="397"/>
      <c r="AP267" s="397"/>
      <c r="AQ267" s="397"/>
      <c r="AR267" s="397"/>
      <c r="AS267" s="397"/>
      <c r="AT267" s="397"/>
      <c r="AU267" s="397"/>
      <c r="AV267" s="397"/>
      <c r="AW267" s="397"/>
      <c r="AX267" s="397"/>
      <c r="AY267" s="397"/>
      <c r="AZ267" s="397"/>
      <c r="BA267" s="397"/>
      <c r="BB267" s="397"/>
      <c r="BC267" s="397"/>
      <c r="BD267" s="397"/>
      <c r="BE267" s="397"/>
      <c r="BF267" s="397"/>
      <c r="BG267" s="397"/>
      <c r="BH267" s="397"/>
      <c r="BI267" s="397"/>
      <c r="BJ267" s="397"/>
      <c r="BK267" s="397"/>
      <c r="BL267" s="397"/>
      <c r="BM267" s="397"/>
      <c r="BN267" s="397"/>
    </row>
    <row r="268" spans="5:66" ht="14.25">
      <c r="E268" s="397"/>
      <c r="F268" s="397"/>
      <c r="G268" s="397"/>
      <c r="H268" s="397"/>
      <c r="I268" s="397"/>
      <c r="J268" s="397"/>
      <c r="K268" s="397"/>
      <c r="L268" s="397"/>
      <c r="M268" s="397"/>
      <c r="N268" s="397"/>
      <c r="O268" s="397"/>
      <c r="P268" s="397"/>
      <c r="Q268" s="397"/>
      <c r="R268" s="397"/>
      <c r="S268" s="397"/>
      <c r="T268" s="397"/>
      <c r="U268" s="397"/>
      <c r="V268" s="397"/>
      <c r="W268" s="397"/>
      <c r="X268" s="397"/>
      <c r="Y268" s="397"/>
      <c r="Z268" s="397"/>
      <c r="AA268" s="397"/>
      <c r="AB268" s="397"/>
      <c r="AC268" s="397"/>
      <c r="AD268" s="397"/>
      <c r="AE268" s="397"/>
      <c r="AF268" s="397"/>
      <c r="AG268" s="397"/>
      <c r="AH268" s="397"/>
      <c r="AI268" s="397"/>
      <c r="AJ268" s="397"/>
      <c r="AK268" s="397"/>
      <c r="AL268" s="397"/>
      <c r="AM268" s="397"/>
      <c r="AN268" s="397"/>
      <c r="AO268" s="397"/>
      <c r="AP268" s="397"/>
      <c r="AQ268" s="397"/>
      <c r="AR268" s="397"/>
      <c r="AS268" s="397"/>
      <c r="AT268" s="397"/>
      <c r="AU268" s="397"/>
      <c r="AV268" s="397"/>
      <c r="AW268" s="397"/>
      <c r="AX268" s="397"/>
      <c r="AY268" s="397"/>
      <c r="AZ268" s="397"/>
      <c r="BA268" s="397"/>
      <c r="BB268" s="397"/>
      <c r="BC268" s="397"/>
      <c r="BD268" s="397"/>
      <c r="BE268" s="397"/>
      <c r="BF268" s="397"/>
      <c r="BG268" s="397"/>
      <c r="BH268" s="397"/>
      <c r="BI268" s="397"/>
      <c r="BJ268" s="397"/>
      <c r="BK268" s="397"/>
      <c r="BL268" s="397"/>
      <c r="BM268" s="397"/>
      <c r="BN268" s="397"/>
    </row>
    <row r="269" spans="5:66" ht="14.25">
      <c r="E269" s="397"/>
      <c r="F269" s="397"/>
      <c r="G269" s="397"/>
      <c r="H269" s="397"/>
      <c r="I269" s="397"/>
      <c r="J269" s="397"/>
      <c r="K269" s="397"/>
      <c r="L269" s="397"/>
      <c r="M269" s="397"/>
      <c r="N269" s="397"/>
      <c r="O269" s="397"/>
      <c r="P269" s="397"/>
      <c r="Q269" s="397"/>
      <c r="R269" s="397"/>
      <c r="S269" s="397"/>
      <c r="T269" s="397"/>
      <c r="U269" s="397"/>
      <c r="V269" s="397"/>
      <c r="W269" s="397"/>
      <c r="X269" s="397"/>
      <c r="Y269" s="397"/>
      <c r="Z269" s="397"/>
      <c r="AA269" s="397"/>
      <c r="AB269" s="397"/>
      <c r="AC269" s="397"/>
      <c r="AD269" s="397"/>
      <c r="AE269" s="397"/>
      <c r="AF269" s="397"/>
      <c r="AG269" s="397"/>
      <c r="AH269" s="397"/>
      <c r="AI269" s="397"/>
      <c r="AJ269" s="397"/>
      <c r="AK269" s="397"/>
      <c r="AL269" s="397"/>
      <c r="AM269" s="397"/>
      <c r="AN269" s="397"/>
      <c r="AO269" s="397"/>
      <c r="AP269" s="397"/>
      <c r="AQ269" s="397"/>
      <c r="AR269" s="397"/>
      <c r="AS269" s="397"/>
      <c r="AT269" s="397"/>
      <c r="AU269" s="397"/>
      <c r="AV269" s="397"/>
      <c r="AW269" s="397"/>
      <c r="AX269" s="397"/>
      <c r="AY269" s="397"/>
      <c r="AZ269" s="397"/>
      <c r="BA269" s="397"/>
      <c r="BB269" s="397"/>
      <c r="BC269" s="397"/>
      <c r="BD269" s="397"/>
      <c r="BE269" s="397"/>
      <c r="BF269" s="397"/>
      <c r="BG269" s="397"/>
      <c r="BH269" s="397"/>
      <c r="BI269" s="397"/>
      <c r="BJ269" s="397"/>
      <c r="BK269" s="397"/>
      <c r="BL269" s="397"/>
      <c r="BM269" s="397"/>
      <c r="BN269" s="397"/>
    </row>
    <row r="270" spans="5:66" ht="14.25">
      <c r="E270" s="397"/>
      <c r="F270" s="397"/>
      <c r="G270" s="397"/>
      <c r="H270" s="397"/>
      <c r="I270" s="397"/>
      <c r="J270" s="397"/>
      <c r="K270" s="397"/>
      <c r="L270" s="397"/>
      <c r="M270" s="397"/>
      <c r="N270" s="397"/>
      <c r="O270" s="397"/>
      <c r="P270" s="397"/>
      <c r="Q270" s="397"/>
      <c r="R270" s="397"/>
      <c r="S270" s="397"/>
      <c r="T270" s="397"/>
      <c r="U270" s="397"/>
      <c r="V270" s="397"/>
      <c r="W270" s="397"/>
      <c r="X270" s="397"/>
      <c r="Y270" s="397"/>
      <c r="Z270" s="397"/>
      <c r="AA270" s="397"/>
      <c r="AB270" s="397"/>
      <c r="AC270" s="397"/>
      <c r="AD270" s="397"/>
      <c r="AE270" s="397"/>
      <c r="AF270" s="397"/>
      <c r="AG270" s="397"/>
      <c r="AH270" s="397"/>
      <c r="AI270" s="397"/>
      <c r="AJ270" s="397"/>
      <c r="AK270" s="397"/>
      <c r="AL270" s="397"/>
      <c r="AM270" s="397"/>
      <c r="AN270" s="397"/>
      <c r="AO270" s="397"/>
      <c r="AP270" s="397"/>
      <c r="AQ270" s="397"/>
      <c r="AR270" s="397"/>
      <c r="AS270" s="397"/>
      <c r="AT270" s="397"/>
      <c r="AU270" s="397"/>
      <c r="AV270" s="397"/>
      <c r="AW270" s="397"/>
      <c r="AX270" s="397"/>
      <c r="AY270" s="397"/>
      <c r="AZ270" s="397"/>
      <c r="BA270" s="397"/>
      <c r="BB270" s="397"/>
      <c r="BC270" s="397"/>
      <c r="BD270" s="397"/>
      <c r="BE270" s="397"/>
      <c r="BF270" s="397"/>
      <c r="BG270" s="397"/>
      <c r="BH270" s="397"/>
      <c r="BI270" s="397"/>
      <c r="BJ270" s="397"/>
      <c r="BK270" s="397"/>
      <c r="BL270" s="397"/>
      <c r="BM270" s="397"/>
      <c r="BN270" s="397"/>
    </row>
    <row r="271" spans="5:66" ht="14.25">
      <c r="E271" s="397"/>
      <c r="F271" s="397"/>
      <c r="G271" s="397"/>
      <c r="H271" s="397"/>
      <c r="I271" s="397"/>
      <c r="J271" s="397"/>
      <c r="K271" s="397"/>
      <c r="L271" s="397"/>
      <c r="M271" s="397"/>
      <c r="N271" s="397"/>
      <c r="O271" s="397"/>
      <c r="P271" s="397"/>
      <c r="Q271" s="397"/>
      <c r="R271" s="397"/>
      <c r="S271" s="397"/>
      <c r="T271" s="397"/>
      <c r="U271" s="397"/>
      <c r="V271" s="397"/>
      <c r="W271" s="397"/>
      <c r="X271" s="397"/>
      <c r="Y271" s="397"/>
      <c r="Z271" s="397"/>
      <c r="AA271" s="397"/>
      <c r="AB271" s="397"/>
      <c r="AC271" s="397"/>
      <c r="AD271" s="397"/>
      <c r="AE271" s="397"/>
      <c r="AF271" s="397"/>
      <c r="AG271" s="397"/>
      <c r="AH271" s="397"/>
      <c r="AI271" s="397"/>
      <c r="AJ271" s="397"/>
      <c r="AK271" s="397"/>
      <c r="AL271" s="397"/>
      <c r="AM271" s="397"/>
      <c r="AN271" s="397"/>
      <c r="AO271" s="397"/>
      <c r="AP271" s="397"/>
      <c r="AQ271" s="397"/>
      <c r="AR271" s="397"/>
      <c r="AS271" s="397"/>
      <c r="AT271" s="397"/>
      <c r="AU271" s="397"/>
      <c r="AV271" s="397"/>
      <c r="AW271" s="397"/>
      <c r="AX271" s="397"/>
      <c r="AY271" s="397"/>
      <c r="AZ271" s="397"/>
      <c r="BA271" s="397"/>
      <c r="BB271" s="397"/>
      <c r="BC271" s="397"/>
      <c r="BD271" s="397"/>
      <c r="BE271" s="397"/>
      <c r="BF271" s="397"/>
      <c r="BG271" s="397"/>
      <c r="BH271" s="397"/>
      <c r="BI271" s="397"/>
      <c r="BJ271" s="397"/>
      <c r="BK271" s="397"/>
      <c r="BL271" s="397"/>
      <c r="BM271" s="397"/>
      <c r="BN271" s="397"/>
    </row>
    <row r="272" spans="5:66" ht="14.25">
      <c r="E272" s="397"/>
      <c r="F272" s="397"/>
      <c r="G272" s="397"/>
      <c r="H272" s="397"/>
      <c r="I272" s="397"/>
      <c r="J272" s="397"/>
      <c r="K272" s="397"/>
      <c r="L272" s="397"/>
      <c r="M272" s="397"/>
      <c r="N272" s="397"/>
      <c r="O272" s="397"/>
      <c r="P272" s="397"/>
      <c r="Q272" s="397"/>
      <c r="R272" s="397"/>
      <c r="S272" s="397"/>
      <c r="T272" s="397"/>
      <c r="U272" s="397"/>
      <c r="V272" s="397"/>
      <c r="W272" s="397"/>
      <c r="X272" s="397"/>
      <c r="Y272" s="397"/>
      <c r="Z272" s="397"/>
      <c r="AA272" s="397"/>
      <c r="AB272" s="397"/>
      <c r="AC272" s="397"/>
      <c r="AD272" s="397"/>
      <c r="AE272" s="397"/>
      <c r="AF272" s="397"/>
      <c r="AG272" s="397"/>
      <c r="AH272" s="397"/>
      <c r="AI272" s="397"/>
      <c r="AJ272" s="397"/>
      <c r="AK272" s="397"/>
      <c r="AL272" s="397"/>
      <c r="AM272" s="397"/>
      <c r="AN272" s="397"/>
      <c r="AO272" s="397"/>
      <c r="AP272" s="397"/>
      <c r="AQ272" s="397"/>
      <c r="AR272" s="397"/>
      <c r="AS272" s="397"/>
      <c r="AT272" s="397"/>
      <c r="AU272" s="397"/>
      <c r="AV272" s="397"/>
      <c r="AW272" s="397"/>
      <c r="AX272" s="397"/>
      <c r="AY272" s="397"/>
      <c r="AZ272" s="397"/>
      <c r="BA272" s="397"/>
      <c r="BB272" s="397"/>
      <c r="BC272" s="397"/>
      <c r="BD272" s="397"/>
      <c r="BE272" s="397"/>
      <c r="BF272" s="397"/>
      <c r="BG272" s="397"/>
      <c r="BH272" s="397"/>
      <c r="BI272" s="397"/>
      <c r="BJ272" s="397"/>
      <c r="BK272" s="397"/>
      <c r="BL272" s="397"/>
      <c r="BM272" s="397"/>
      <c r="BN272" s="397"/>
    </row>
    <row r="273" spans="5:66" ht="14.25">
      <c r="E273" s="397"/>
      <c r="F273" s="397"/>
      <c r="G273" s="397"/>
      <c r="H273" s="397"/>
      <c r="I273" s="397"/>
      <c r="J273" s="397"/>
      <c r="K273" s="397"/>
      <c r="L273" s="397"/>
      <c r="M273" s="397"/>
      <c r="N273" s="397"/>
      <c r="O273" s="397"/>
      <c r="P273" s="397"/>
      <c r="Q273" s="397"/>
      <c r="R273" s="397"/>
      <c r="S273" s="397"/>
      <c r="T273" s="397"/>
      <c r="U273" s="397"/>
      <c r="V273" s="397"/>
      <c r="W273" s="397"/>
      <c r="X273" s="397"/>
      <c r="Y273" s="397"/>
      <c r="Z273" s="397"/>
      <c r="AA273" s="397"/>
      <c r="AB273" s="397"/>
      <c r="AC273" s="397"/>
      <c r="AD273" s="397"/>
      <c r="AE273" s="397"/>
      <c r="AF273" s="397"/>
      <c r="AG273" s="397"/>
      <c r="AH273" s="397"/>
      <c r="AI273" s="397"/>
      <c r="AJ273" s="397"/>
      <c r="AK273" s="397"/>
      <c r="AL273" s="397"/>
      <c r="AM273" s="397"/>
      <c r="AN273" s="397"/>
      <c r="AO273" s="397"/>
      <c r="AP273" s="397"/>
      <c r="AQ273" s="397"/>
      <c r="AR273" s="397"/>
      <c r="AS273" s="397"/>
      <c r="AT273" s="397"/>
      <c r="AU273" s="397"/>
      <c r="AV273" s="397"/>
      <c r="AW273" s="397"/>
      <c r="AX273" s="397"/>
      <c r="AY273" s="397"/>
      <c r="AZ273" s="397"/>
      <c r="BA273" s="397"/>
      <c r="BB273" s="397"/>
      <c r="BC273" s="397"/>
      <c r="BD273" s="397"/>
      <c r="BE273" s="397"/>
      <c r="BF273" s="397"/>
      <c r="BG273" s="397"/>
      <c r="BH273" s="397"/>
      <c r="BI273" s="397"/>
      <c r="BJ273" s="397"/>
      <c r="BK273" s="397"/>
      <c r="BL273" s="397"/>
      <c r="BM273" s="397"/>
      <c r="BN273" s="397"/>
    </row>
    <row r="274" spans="5:66" ht="14.25">
      <c r="E274" s="397"/>
      <c r="F274" s="397"/>
      <c r="G274" s="397"/>
      <c r="H274" s="397"/>
      <c r="I274" s="397"/>
      <c r="J274" s="397"/>
      <c r="K274" s="397"/>
      <c r="L274" s="397"/>
      <c r="M274" s="397"/>
      <c r="N274" s="397"/>
      <c r="O274" s="397"/>
      <c r="P274" s="397"/>
      <c r="Q274" s="397"/>
      <c r="R274" s="397"/>
      <c r="S274" s="397"/>
      <c r="T274" s="397"/>
      <c r="U274" s="397"/>
      <c r="V274" s="397"/>
      <c r="W274" s="397"/>
      <c r="X274" s="397"/>
      <c r="Y274" s="397"/>
      <c r="Z274" s="397"/>
      <c r="AA274" s="397"/>
      <c r="AB274" s="397"/>
      <c r="AC274" s="397"/>
      <c r="AD274" s="397"/>
      <c r="AE274" s="397"/>
      <c r="AF274" s="397"/>
      <c r="AG274" s="397"/>
      <c r="AH274" s="397"/>
      <c r="AI274" s="397"/>
      <c r="AJ274" s="397"/>
      <c r="AK274" s="397"/>
      <c r="AL274" s="397"/>
      <c r="AM274" s="397"/>
      <c r="AN274" s="397"/>
      <c r="AO274" s="397"/>
      <c r="AP274" s="397"/>
      <c r="AQ274" s="397"/>
      <c r="AR274" s="397"/>
      <c r="AS274" s="397"/>
      <c r="AT274" s="397"/>
      <c r="AU274" s="397"/>
      <c r="AV274" s="397"/>
      <c r="AW274" s="397"/>
      <c r="AX274" s="397"/>
      <c r="AY274" s="397"/>
      <c r="AZ274" s="397"/>
      <c r="BA274" s="397"/>
      <c r="BB274" s="397"/>
      <c r="BC274" s="397"/>
      <c r="BD274" s="397"/>
      <c r="BE274" s="397"/>
      <c r="BF274" s="397"/>
      <c r="BG274" s="397"/>
      <c r="BH274" s="397"/>
      <c r="BI274" s="397"/>
      <c r="BJ274" s="397"/>
      <c r="BK274" s="397"/>
      <c r="BL274" s="397"/>
      <c r="BM274" s="397"/>
      <c r="BN274" s="397"/>
    </row>
    <row r="275" spans="5:66" ht="14.25">
      <c r="E275" s="397"/>
      <c r="F275" s="397"/>
      <c r="G275" s="397"/>
      <c r="H275" s="397"/>
      <c r="I275" s="397"/>
      <c r="J275" s="397"/>
      <c r="K275" s="397"/>
      <c r="L275" s="397"/>
      <c r="M275" s="397"/>
      <c r="N275" s="397"/>
      <c r="O275" s="397"/>
      <c r="P275" s="397"/>
      <c r="Q275" s="397"/>
      <c r="R275" s="397"/>
      <c r="S275" s="397"/>
      <c r="T275" s="397"/>
      <c r="U275" s="397"/>
      <c r="V275" s="397"/>
      <c r="W275" s="397"/>
      <c r="X275" s="397"/>
      <c r="Y275" s="397"/>
      <c r="Z275" s="397"/>
      <c r="AA275" s="397"/>
      <c r="AB275" s="397"/>
      <c r="AC275" s="397"/>
      <c r="AD275" s="397"/>
      <c r="AE275" s="397"/>
      <c r="AF275" s="397"/>
      <c r="AG275" s="397"/>
      <c r="AH275" s="397"/>
      <c r="AI275" s="397"/>
      <c r="AJ275" s="397"/>
      <c r="AK275" s="397"/>
      <c r="AL275" s="397"/>
      <c r="AM275" s="397"/>
      <c r="AN275" s="397"/>
      <c r="AO275" s="397"/>
      <c r="AP275" s="397"/>
      <c r="AQ275" s="397"/>
      <c r="AR275" s="397"/>
      <c r="AS275" s="397"/>
      <c r="AT275" s="397"/>
      <c r="AU275" s="397"/>
      <c r="AV275" s="397"/>
      <c r="AW275" s="397"/>
      <c r="AX275" s="397"/>
      <c r="AY275" s="397"/>
      <c r="AZ275" s="397"/>
      <c r="BA275" s="397"/>
      <c r="BB275" s="397"/>
      <c r="BC275" s="397"/>
      <c r="BD275" s="397"/>
      <c r="BE275" s="397"/>
      <c r="BF275" s="397"/>
      <c r="BG275" s="397"/>
      <c r="BH275" s="397"/>
      <c r="BI275" s="397"/>
      <c r="BJ275" s="397"/>
      <c r="BK275" s="397"/>
      <c r="BL275" s="397"/>
      <c r="BM275" s="397"/>
      <c r="BN275" s="397"/>
    </row>
    <row r="276" spans="5:66" ht="14.25">
      <c r="E276" s="397"/>
      <c r="F276" s="397"/>
      <c r="G276" s="397"/>
      <c r="H276" s="397"/>
      <c r="I276" s="397"/>
      <c r="J276" s="397"/>
      <c r="K276" s="397"/>
      <c r="L276" s="397"/>
      <c r="M276" s="397"/>
      <c r="N276" s="397"/>
      <c r="O276" s="397"/>
      <c r="P276" s="397"/>
      <c r="Q276" s="397"/>
      <c r="R276" s="397"/>
      <c r="S276" s="397"/>
      <c r="T276" s="397"/>
      <c r="U276" s="397"/>
      <c r="V276" s="397"/>
      <c r="W276" s="397"/>
      <c r="X276" s="397"/>
      <c r="Y276" s="397"/>
      <c r="Z276" s="397"/>
      <c r="AA276" s="397"/>
      <c r="AB276" s="397"/>
      <c r="AC276" s="397"/>
      <c r="AD276" s="397"/>
      <c r="AE276" s="397"/>
      <c r="AF276" s="397"/>
      <c r="AG276" s="397"/>
      <c r="AH276" s="397"/>
      <c r="AI276" s="397"/>
      <c r="AJ276" s="397"/>
      <c r="AK276" s="397"/>
      <c r="AL276" s="397"/>
      <c r="AM276" s="397"/>
      <c r="AN276" s="397"/>
      <c r="AO276" s="397"/>
      <c r="AP276" s="397"/>
      <c r="AQ276" s="397"/>
      <c r="AR276" s="397"/>
      <c r="AS276" s="397"/>
      <c r="AT276" s="397"/>
      <c r="AU276" s="397"/>
      <c r="AV276" s="397"/>
      <c r="AW276" s="397"/>
      <c r="AX276" s="397"/>
      <c r="AY276" s="397"/>
      <c r="AZ276" s="397"/>
      <c r="BA276" s="397"/>
      <c r="BB276" s="397"/>
      <c r="BC276" s="397"/>
      <c r="BD276" s="397"/>
      <c r="BE276" s="397"/>
      <c r="BF276" s="397"/>
      <c r="BG276" s="397"/>
      <c r="BH276" s="397"/>
      <c r="BI276" s="397"/>
      <c r="BJ276" s="397"/>
      <c r="BK276" s="397"/>
      <c r="BL276" s="397"/>
      <c r="BM276" s="397"/>
      <c r="BN276" s="397"/>
    </row>
    <row r="277" spans="5:66" ht="14.25">
      <c r="E277" s="397"/>
      <c r="F277" s="397"/>
      <c r="G277" s="397"/>
      <c r="H277" s="397"/>
      <c r="I277" s="397"/>
      <c r="J277" s="397"/>
      <c r="K277" s="397"/>
      <c r="L277" s="397"/>
      <c r="M277" s="397"/>
      <c r="N277" s="397"/>
      <c r="O277" s="397"/>
      <c r="P277" s="397"/>
      <c r="Q277" s="397"/>
      <c r="R277" s="397"/>
      <c r="S277" s="397"/>
      <c r="T277" s="397"/>
      <c r="U277" s="397"/>
      <c r="V277" s="397"/>
      <c r="W277" s="397"/>
      <c r="X277" s="397"/>
      <c r="Y277" s="397"/>
      <c r="Z277" s="397"/>
      <c r="AA277" s="397"/>
      <c r="AB277" s="397"/>
      <c r="AC277" s="397"/>
      <c r="AD277" s="397"/>
      <c r="AE277" s="397"/>
      <c r="AF277" s="397"/>
      <c r="AG277" s="397"/>
      <c r="AH277" s="397"/>
      <c r="AI277" s="397"/>
      <c r="AJ277" s="397"/>
      <c r="AK277" s="397"/>
      <c r="AL277" s="397"/>
      <c r="AM277" s="397"/>
      <c r="AN277" s="397"/>
      <c r="AO277" s="397"/>
      <c r="AP277" s="397"/>
      <c r="AQ277" s="397"/>
      <c r="AR277" s="397"/>
      <c r="AS277" s="397"/>
      <c r="AT277" s="397"/>
      <c r="AU277" s="397"/>
      <c r="AV277" s="397"/>
      <c r="AW277" s="397"/>
      <c r="AX277" s="397"/>
      <c r="AY277" s="397"/>
      <c r="AZ277" s="397"/>
      <c r="BA277" s="397"/>
      <c r="BB277" s="397"/>
      <c r="BC277" s="397"/>
      <c r="BD277" s="397"/>
      <c r="BE277" s="397"/>
      <c r="BF277" s="397"/>
      <c r="BG277" s="397"/>
      <c r="BH277" s="397"/>
      <c r="BI277" s="397"/>
      <c r="BJ277" s="397"/>
      <c r="BK277" s="397"/>
      <c r="BL277" s="397"/>
      <c r="BM277" s="397"/>
      <c r="BN277" s="397"/>
    </row>
    <row r="278" spans="5:66" ht="14.25">
      <c r="E278" s="397"/>
      <c r="F278" s="397"/>
      <c r="G278" s="397"/>
      <c r="H278" s="397"/>
      <c r="I278" s="397"/>
      <c r="J278" s="397"/>
      <c r="K278" s="397"/>
      <c r="L278" s="397"/>
      <c r="M278" s="397"/>
      <c r="N278" s="397"/>
      <c r="O278" s="397"/>
      <c r="P278" s="397"/>
      <c r="Q278" s="397"/>
      <c r="R278" s="397"/>
      <c r="S278" s="397"/>
      <c r="T278" s="397"/>
      <c r="U278" s="397"/>
      <c r="V278" s="397"/>
      <c r="W278" s="397"/>
      <c r="X278" s="397"/>
      <c r="Y278" s="397"/>
      <c r="Z278" s="397"/>
      <c r="AA278" s="397"/>
      <c r="AB278" s="397"/>
      <c r="AC278" s="397"/>
      <c r="AD278" s="397"/>
      <c r="AE278" s="397"/>
      <c r="AF278" s="397"/>
      <c r="AG278" s="397"/>
      <c r="AH278" s="397"/>
      <c r="AI278" s="397"/>
      <c r="AJ278" s="397"/>
      <c r="AK278" s="397"/>
      <c r="AL278" s="397"/>
      <c r="AM278" s="397"/>
      <c r="AN278" s="397"/>
      <c r="AO278" s="397"/>
      <c r="AP278" s="397"/>
      <c r="AQ278" s="397"/>
      <c r="AR278" s="397"/>
      <c r="AS278" s="397"/>
      <c r="AT278" s="397"/>
      <c r="AU278" s="397"/>
      <c r="AV278" s="397"/>
      <c r="AW278" s="397"/>
      <c r="AX278" s="397"/>
      <c r="AY278" s="397"/>
      <c r="AZ278" s="397"/>
      <c r="BA278" s="397"/>
      <c r="BB278" s="397"/>
      <c r="BC278" s="397"/>
      <c r="BD278" s="397"/>
      <c r="BE278" s="397"/>
      <c r="BF278" s="397"/>
      <c r="BG278" s="397"/>
      <c r="BH278" s="397"/>
      <c r="BI278" s="397"/>
      <c r="BJ278" s="397"/>
      <c r="BK278" s="397"/>
      <c r="BL278" s="397"/>
      <c r="BM278" s="397"/>
      <c r="BN278" s="397"/>
    </row>
    <row r="279" spans="5:66" ht="14.25">
      <c r="E279" s="397"/>
      <c r="F279" s="397"/>
      <c r="G279" s="397"/>
      <c r="H279" s="397"/>
      <c r="I279" s="397"/>
      <c r="J279" s="397"/>
      <c r="K279" s="397"/>
      <c r="L279" s="397"/>
      <c r="M279" s="397"/>
      <c r="N279" s="397"/>
      <c r="O279" s="397"/>
      <c r="P279" s="397"/>
      <c r="Q279" s="397"/>
      <c r="R279" s="397"/>
      <c r="S279" s="397"/>
      <c r="T279" s="397"/>
      <c r="U279" s="397"/>
      <c r="V279" s="397"/>
      <c r="W279" s="397"/>
      <c r="X279" s="397"/>
      <c r="Y279" s="397"/>
      <c r="Z279" s="397"/>
      <c r="AA279" s="397"/>
      <c r="AB279" s="397"/>
      <c r="AC279" s="397"/>
      <c r="AD279" s="397"/>
      <c r="AE279" s="397"/>
      <c r="AF279" s="397"/>
      <c r="AG279" s="397"/>
      <c r="AH279" s="397"/>
      <c r="AI279" s="397"/>
      <c r="AJ279" s="397"/>
      <c r="AK279" s="397"/>
      <c r="AL279" s="397"/>
      <c r="AM279" s="397"/>
      <c r="AN279" s="397"/>
      <c r="AO279" s="397"/>
      <c r="AP279" s="397"/>
      <c r="AQ279" s="397"/>
      <c r="AR279" s="397"/>
      <c r="AS279" s="397"/>
      <c r="AT279" s="397"/>
      <c r="AU279" s="397"/>
      <c r="AV279" s="397"/>
      <c r="AW279" s="397"/>
      <c r="AX279" s="397"/>
      <c r="AY279" s="397"/>
      <c r="AZ279" s="397"/>
      <c r="BA279" s="397"/>
      <c r="BB279" s="397"/>
      <c r="BC279" s="397"/>
      <c r="BD279" s="397"/>
      <c r="BE279" s="397"/>
      <c r="BF279" s="397"/>
      <c r="BG279" s="397"/>
      <c r="BH279" s="397"/>
      <c r="BI279" s="397"/>
      <c r="BJ279" s="397"/>
      <c r="BK279" s="397"/>
      <c r="BL279" s="397"/>
      <c r="BM279" s="397"/>
      <c r="BN279" s="397"/>
    </row>
    <row r="280" spans="5:66" ht="14.25">
      <c r="E280" s="397"/>
      <c r="F280" s="397"/>
      <c r="G280" s="397"/>
      <c r="H280" s="397"/>
      <c r="I280" s="397"/>
      <c r="J280" s="397"/>
      <c r="K280" s="397"/>
      <c r="L280" s="397"/>
      <c r="M280" s="397"/>
      <c r="N280" s="397"/>
      <c r="O280" s="397"/>
      <c r="P280" s="397"/>
      <c r="Q280" s="397"/>
      <c r="R280" s="397"/>
      <c r="S280" s="397"/>
      <c r="T280" s="397"/>
      <c r="U280" s="397"/>
      <c r="V280" s="397"/>
      <c r="W280" s="397"/>
      <c r="X280" s="397"/>
      <c r="Y280" s="397"/>
      <c r="Z280" s="397"/>
      <c r="AA280" s="397"/>
      <c r="AB280" s="397"/>
      <c r="AC280" s="397"/>
      <c r="AD280" s="397"/>
      <c r="AE280" s="397"/>
      <c r="AF280" s="397"/>
      <c r="AG280" s="397"/>
      <c r="AH280" s="397"/>
      <c r="AI280" s="397"/>
      <c r="AJ280" s="397"/>
      <c r="AK280" s="397"/>
      <c r="AL280" s="397"/>
      <c r="AM280" s="397"/>
      <c r="AN280" s="397"/>
      <c r="AO280" s="397"/>
      <c r="AP280" s="397"/>
      <c r="AQ280" s="397"/>
      <c r="AR280" s="397"/>
      <c r="AS280" s="397"/>
      <c r="AT280" s="397"/>
      <c r="AU280" s="397"/>
      <c r="AV280" s="397"/>
      <c r="AW280" s="397"/>
      <c r="AX280" s="397"/>
      <c r="AY280" s="397"/>
      <c r="AZ280" s="397"/>
      <c r="BA280" s="397"/>
      <c r="BB280" s="397"/>
      <c r="BC280" s="397"/>
      <c r="BD280" s="397"/>
      <c r="BE280" s="397"/>
      <c r="BF280" s="397"/>
      <c r="BG280" s="397"/>
      <c r="BH280" s="397"/>
      <c r="BI280" s="397"/>
      <c r="BJ280" s="397"/>
      <c r="BK280" s="397"/>
      <c r="BL280" s="397"/>
      <c r="BM280" s="397"/>
      <c r="BN280" s="397"/>
    </row>
    <row r="281" spans="5:66" ht="14.25">
      <c r="E281" s="397"/>
      <c r="F281" s="397"/>
      <c r="G281" s="397"/>
      <c r="H281" s="397"/>
      <c r="I281" s="397"/>
      <c r="J281" s="397"/>
      <c r="K281" s="397"/>
      <c r="L281" s="397"/>
      <c r="M281" s="397"/>
      <c r="N281" s="397"/>
      <c r="O281" s="397"/>
      <c r="P281" s="397"/>
      <c r="Q281" s="397"/>
      <c r="R281" s="397"/>
      <c r="S281" s="397"/>
      <c r="T281" s="397"/>
      <c r="U281" s="397"/>
      <c r="V281" s="397"/>
      <c r="W281" s="397"/>
      <c r="X281" s="397"/>
      <c r="Y281" s="397"/>
      <c r="Z281" s="397"/>
      <c r="AA281" s="397"/>
      <c r="AB281" s="397"/>
      <c r="AC281" s="397"/>
      <c r="AD281" s="397"/>
      <c r="AE281" s="397"/>
      <c r="AF281" s="397"/>
      <c r="AG281" s="397"/>
      <c r="AH281" s="397"/>
      <c r="AI281" s="397"/>
      <c r="AJ281" s="397"/>
      <c r="AK281" s="397"/>
      <c r="AL281" s="397"/>
      <c r="AM281" s="397"/>
      <c r="AN281" s="397"/>
      <c r="AO281" s="397"/>
      <c r="AP281" s="397"/>
      <c r="AQ281" s="397"/>
      <c r="AR281" s="397"/>
      <c r="AS281" s="397"/>
      <c r="AT281" s="397"/>
      <c r="AU281" s="397"/>
      <c r="AV281" s="397"/>
      <c r="AW281" s="397"/>
      <c r="AX281" s="397"/>
      <c r="AY281" s="397"/>
      <c r="AZ281" s="397"/>
      <c r="BA281" s="397"/>
      <c r="BB281" s="397"/>
      <c r="BC281" s="397"/>
      <c r="BD281" s="397"/>
      <c r="BE281" s="397"/>
      <c r="BF281" s="397"/>
      <c r="BG281" s="397"/>
      <c r="BH281" s="397"/>
      <c r="BI281" s="397"/>
      <c r="BJ281" s="397"/>
      <c r="BK281" s="397"/>
      <c r="BL281" s="397"/>
      <c r="BM281" s="397"/>
      <c r="BN281" s="397"/>
    </row>
    <row r="282" spans="5:66" ht="14.25">
      <c r="E282" s="397"/>
      <c r="F282" s="397"/>
      <c r="G282" s="397"/>
      <c r="H282" s="397"/>
      <c r="I282" s="397"/>
      <c r="J282" s="397"/>
      <c r="K282" s="397"/>
      <c r="L282" s="397"/>
      <c r="M282" s="397"/>
      <c r="N282" s="397"/>
      <c r="O282" s="397"/>
      <c r="P282" s="397"/>
      <c r="Q282" s="397"/>
      <c r="R282" s="397"/>
      <c r="S282" s="397"/>
      <c r="T282" s="397"/>
      <c r="U282" s="397"/>
      <c r="V282" s="397"/>
      <c r="W282" s="397"/>
      <c r="X282" s="397"/>
      <c r="Y282" s="397"/>
      <c r="Z282" s="397"/>
      <c r="AA282" s="397"/>
      <c r="AB282" s="397"/>
      <c r="AC282" s="397"/>
      <c r="AD282" s="397"/>
      <c r="AE282" s="397"/>
      <c r="AF282" s="397"/>
      <c r="AG282" s="397"/>
      <c r="AH282" s="397"/>
      <c r="AI282" s="397"/>
      <c r="AJ282" s="397"/>
      <c r="AK282" s="397"/>
      <c r="AL282" s="397"/>
      <c r="AM282" s="397"/>
      <c r="AN282" s="397"/>
      <c r="AO282" s="397"/>
      <c r="AP282" s="397"/>
      <c r="AQ282" s="397"/>
      <c r="AR282" s="397"/>
      <c r="AS282" s="397"/>
      <c r="AT282" s="397"/>
      <c r="AU282" s="397"/>
      <c r="AV282" s="397"/>
      <c r="AW282" s="397"/>
      <c r="AX282" s="397"/>
      <c r="AY282" s="397"/>
      <c r="AZ282" s="397"/>
      <c r="BA282" s="397"/>
      <c r="BB282" s="397"/>
      <c r="BC282" s="397"/>
      <c r="BD282" s="397"/>
      <c r="BE282" s="397"/>
      <c r="BF282" s="397"/>
      <c r="BG282" s="397"/>
      <c r="BH282" s="397"/>
      <c r="BI282" s="397"/>
      <c r="BJ282" s="397"/>
      <c r="BK282" s="397"/>
      <c r="BL282" s="397"/>
      <c r="BM282" s="397"/>
      <c r="BN282" s="397"/>
    </row>
    <row r="283" spans="5:66" ht="14.25">
      <c r="E283" s="397"/>
      <c r="F283" s="397"/>
      <c r="G283" s="397"/>
      <c r="H283" s="397"/>
      <c r="I283" s="397"/>
      <c r="J283" s="397"/>
      <c r="K283" s="397"/>
      <c r="L283" s="397"/>
      <c r="M283" s="397"/>
      <c r="N283" s="397"/>
      <c r="O283" s="397"/>
      <c r="P283" s="397"/>
      <c r="Q283" s="397"/>
      <c r="R283" s="397"/>
      <c r="S283" s="397"/>
      <c r="T283" s="397"/>
      <c r="U283" s="397"/>
      <c r="V283" s="397"/>
      <c r="W283" s="397"/>
      <c r="X283" s="397"/>
      <c r="Y283" s="397"/>
      <c r="Z283" s="397"/>
      <c r="AA283" s="397"/>
      <c r="AB283" s="397"/>
      <c r="AC283" s="397"/>
      <c r="AD283" s="397"/>
      <c r="AE283" s="397"/>
      <c r="AF283" s="397"/>
      <c r="AG283" s="397"/>
      <c r="AH283" s="397"/>
      <c r="AI283" s="397"/>
      <c r="AJ283" s="397"/>
      <c r="AK283" s="397"/>
      <c r="AL283" s="397"/>
      <c r="AM283" s="397"/>
      <c r="AN283" s="397"/>
      <c r="AO283" s="397"/>
      <c r="AP283" s="397"/>
      <c r="AQ283" s="397"/>
      <c r="AR283" s="397"/>
      <c r="AS283" s="397"/>
      <c r="AT283" s="397"/>
      <c r="AU283" s="397"/>
      <c r="AV283" s="397"/>
      <c r="AW283" s="397"/>
      <c r="AX283" s="397"/>
      <c r="AY283" s="397"/>
      <c r="AZ283" s="397"/>
      <c r="BA283" s="397"/>
      <c r="BB283" s="397"/>
      <c r="BC283" s="397"/>
      <c r="BD283" s="397"/>
      <c r="BE283" s="397"/>
      <c r="BF283" s="397"/>
      <c r="BG283" s="397"/>
      <c r="BH283" s="397"/>
      <c r="BI283" s="397"/>
      <c r="BJ283" s="397"/>
      <c r="BK283" s="397"/>
      <c r="BL283" s="397"/>
      <c r="BM283" s="397"/>
      <c r="BN283" s="397"/>
    </row>
    <row r="284" spans="5:66" ht="14.25">
      <c r="E284" s="397"/>
      <c r="F284" s="397"/>
      <c r="G284" s="397"/>
      <c r="H284" s="397"/>
      <c r="I284" s="397"/>
      <c r="J284" s="397"/>
      <c r="K284" s="397"/>
      <c r="L284" s="397"/>
      <c r="M284" s="397"/>
      <c r="N284" s="397"/>
      <c r="O284" s="397"/>
      <c r="P284" s="397"/>
      <c r="Q284" s="397"/>
      <c r="R284" s="397"/>
      <c r="S284" s="397"/>
      <c r="T284" s="397"/>
      <c r="U284" s="397"/>
      <c r="V284" s="397"/>
      <c r="W284" s="397"/>
      <c r="X284" s="397"/>
      <c r="Y284" s="397"/>
      <c r="Z284" s="397"/>
      <c r="AA284" s="397"/>
      <c r="AB284" s="397"/>
      <c r="AC284" s="397"/>
      <c r="AD284" s="397"/>
      <c r="AE284" s="397"/>
      <c r="AF284" s="397"/>
      <c r="AG284" s="397"/>
      <c r="AH284" s="397"/>
      <c r="AI284" s="397"/>
      <c r="AJ284" s="397"/>
      <c r="AK284" s="397"/>
      <c r="AL284" s="397"/>
      <c r="AM284" s="397"/>
      <c r="AN284" s="397"/>
      <c r="AO284" s="397"/>
      <c r="AP284" s="397"/>
      <c r="AQ284" s="397"/>
      <c r="AR284" s="397"/>
      <c r="AS284" s="397"/>
      <c r="AT284" s="397"/>
      <c r="AU284" s="397"/>
      <c r="AV284" s="397"/>
      <c r="AW284" s="397"/>
      <c r="AX284" s="397"/>
      <c r="AY284" s="397"/>
      <c r="AZ284" s="397"/>
      <c r="BA284" s="397"/>
      <c r="BB284" s="397"/>
      <c r="BC284" s="397"/>
      <c r="BD284" s="397"/>
      <c r="BE284" s="397"/>
      <c r="BF284" s="397"/>
      <c r="BG284" s="397"/>
      <c r="BH284" s="397"/>
      <c r="BI284" s="397"/>
      <c r="BJ284" s="397"/>
      <c r="BK284" s="397"/>
      <c r="BL284" s="397"/>
      <c r="BM284" s="397"/>
      <c r="BN284" s="397"/>
    </row>
    <row r="285" spans="5:66" ht="14.25">
      <c r="E285" s="397"/>
      <c r="F285" s="397"/>
      <c r="G285" s="397"/>
      <c r="H285" s="397"/>
      <c r="I285" s="397"/>
      <c r="J285" s="397"/>
      <c r="K285" s="397"/>
      <c r="L285" s="397"/>
      <c r="M285" s="397"/>
      <c r="N285" s="397"/>
      <c r="O285" s="397"/>
      <c r="P285" s="397"/>
      <c r="Q285" s="397"/>
      <c r="R285" s="397"/>
      <c r="S285" s="397"/>
      <c r="T285" s="397"/>
      <c r="U285" s="397"/>
      <c r="V285" s="397"/>
      <c r="W285" s="397"/>
      <c r="X285" s="397"/>
      <c r="Y285" s="397"/>
      <c r="Z285" s="397"/>
      <c r="AA285" s="397"/>
      <c r="AB285" s="397"/>
      <c r="AC285" s="397"/>
      <c r="AD285" s="397"/>
      <c r="AE285" s="397"/>
      <c r="AF285" s="397"/>
      <c r="AG285" s="397"/>
      <c r="AH285" s="397"/>
      <c r="AI285" s="397"/>
      <c r="AJ285" s="397"/>
      <c r="AK285" s="397"/>
      <c r="AL285" s="397"/>
      <c r="AM285" s="397"/>
      <c r="AN285" s="397"/>
      <c r="AO285" s="397"/>
      <c r="AP285" s="397"/>
      <c r="AQ285" s="397"/>
      <c r="AR285" s="397"/>
      <c r="AS285" s="397"/>
      <c r="AT285" s="397"/>
      <c r="AU285" s="397"/>
      <c r="AV285" s="397"/>
      <c r="AW285" s="397"/>
      <c r="AX285" s="397"/>
      <c r="AY285" s="397"/>
      <c r="AZ285" s="397"/>
      <c r="BA285" s="397"/>
      <c r="BB285" s="397"/>
      <c r="BC285" s="397"/>
      <c r="BD285" s="397"/>
      <c r="BE285" s="397"/>
      <c r="BF285" s="397"/>
      <c r="BG285" s="397"/>
      <c r="BH285" s="397"/>
      <c r="BI285" s="397"/>
      <c r="BJ285" s="397"/>
      <c r="BK285" s="397"/>
      <c r="BL285" s="397"/>
      <c r="BM285" s="397"/>
      <c r="BN285" s="397"/>
    </row>
    <row r="286" spans="5:66" ht="14.25">
      <c r="E286" s="397"/>
      <c r="F286" s="397"/>
      <c r="G286" s="397"/>
      <c r="H286" s="397"/>
      <c r="I286" s="397"/>
      <c r="J286" s="397"/>
      <c r="K286" s="397"/>
      <c r="L286" s="397"/>
      <c r="M286" s="397"/>
      <c r="N286" s="397"/>
      <c r="O286" s="397"/>
      <c r="P286" s="397"/>
      <c r="Q286" s="397"/>
      <c r="R286" s="397"/>
      <c r="S286" s="397"/>
      <c r="T286" s="397"/>
      <c r="U286" s="397"/>
      <c r="V286" s="397"/>
      <c r="W286" s="397"/>
      <c r="X286" s="397"/>
      <c r="Y286" s="397"/>
      <c r="Z286" s="397"/>
      <c r="AA286" s="397"/>
      <c r="AB286" s="397"/>
      <c r="AC286" s="397"/>
      <c r="AD286" s="397"/>
      <c r="AE286" s="397"/>
      <c r="AF286" s="397"/>
      <c r="AG286" s="397"/>
      <c r="AH286" s="397"/>
      <c r="AI286" s="397"/>
      <c r="AJ286" s="397"/>
      <c r="AK286" s="397"/>
      <c r="AL286" s="397"/>
      <c r="AM286" s="397"/>
      <c r="AN286" s="397"/>
      <c r="AO286" s="397"/>
      <c r="AP286" s="397"/>
      <c r="AQ286" s="397"/>
      <c r="AR286" s="397"/>
      <c r="AS286" s="397"/>
      <c r="AT286" s="397"/>
      <c r="AU286" s="397"/>
      <c r="AV286" s="397"/>
      <c r="AW286" s="397"/>
      <c r="AX286" s="397"/>
      <c r="AY286" s="397"/>
      <c r="AZ286" s="397"/>
      <c r="BA286" s="397"/>
      <c r="BB286" s="397"/>
      <c r="BC286" s="397"/>
      <c r="BD286" s="397"/>
      <c r="BE286" s="397"/>
      <c r="BF286" s="397"/>
      <c r="BG286" s="397"/>
      <c r="BH286" s="397"/>
      <c r="BI286" s="397"/>
      <c r="BJ286" s="397"/>
      <c r="BK286" s="397"/>
      <c r="BL286" s="397"/>
      <c r="BM286" s="397"/>
      <c r="BN286" s="397"/>
    </row>
    <row r="287" spans="5:66" ht="14.25">
      <c r="E287" s="397"/>
      <c r="F287" s="397"/>
      <c r="G287" s="397"/>
      <c r="H287" s="397"/>
      <c r="I287" s="397"/>
      <c r="J287" s="397"/>
      <c r="K287" s="397"/>
      <c r="L287" s="397"/>
      <c r="M287" s="397"/>
      <c r="N287" s="397"/>
      <c r="O287" s="397"/>
      <c r="P287" s="397"/>
      <c r="Q287" s="397"/>
      <c r="R287" s="397"/>
      <c r="S287" s="397"/>
      <c r="T287" s="397"/>
      <c r="U287" s="397"/>
      <c r="V287" s="397"/>
      <c r="W287" s="397"/>
      <c r="X287" s="397"/>
      <c r="Y287" s="397"/>
      <c r="Z287" s="397"/>
      <c r="AA287" s="397"/>
      <c r="AB287" s="397"/>
      <c r="AC287" s="397"/>
      <c r="AD287" s="397"/>
      <c r="AE287" s="397"/>
      <c r="AF287" s="397"/>
      <c r="AG287" s="397"/>
      <c r="AH287" s="397"/>
      <c r="AI287" s="397"/>
      <c r="AJ287" s="397"/>
      <c r="AK287" s="397"/>
      <c r="AL287" s="397"/>
      <c r="AM287" s="397"/>
      <c r="AN287" s="397"/>
      <c r="AO287" s="397"/>
      <c r="AP287" s="397"/>
      <c r="AQ287" s="397"/>
      <c r="AR287" s="397"/>
      <c r="AS287" s="397"/>
      <c r="AT287" s="397"/>
      <c r="AU287" s="397"/>
      <c r="AV287" s="397"/>
      <c r="AW287" s="397"/>
      <c r="AX287" s="397"/>
      <c r="AY287" s="397"/>
      <c r="AZ287" s="397"/>
      <c r="BA287" s="397"/>
      <c r="BB287" s="397"/>
      <c r="BC287" s="397"/>
      <c r="BD287" s="397"/>
      <c r="BE287" s="397"/>
      <c r="BF287" s="397"/>
      <c r="BG287" s="397"/>
      <c r="BH287" s="397"/>
      <c r="BI287" s="397"/>
      <c r="BJ287" s="397"/>
      <c r="BK287" s="397"/>
      <c r="BL287" s="397"/>
      <c r="BM287" s="397"/>
      <c r="BN287" s="397"/>
    </row>
    <row r="288" spans="5:66" ht="14.25">
      <c r="E288" s="397"/>
      <c r="F288" s="397"/>
      <c r="G288" s="397"/>
      <c r="H288" s="397"/>
      <c r="I288" s="397"/>
      <c r="J288" s="397"/>
      <c r="K288" s="397"/>
      <c r="L288" s="397"/>
      <c r="M288" s="397"/>
      <c r="N288" s="397"/>
      <c r="O288" s="397"/>
      <c r="P288" s="397"/>
      <c r="Q288" s="397"/>
      <c r="R288" s="397"/>
      <c r="S288" s="397"/>
      <c r="T288" s="397"/>
      <c r="U288" s="397"/>
      <c r="V288" s="397"/>
      <c r="W288" s="397"/>
      <c r="X288" s="397"/>
      <c r="Y288" s="397"/>
      <c r="Z288" s="397"/>
      <c r="AA288" s="397"/>
      <c r="AB288" s="397"/>
      <c r="AC288" s="397"/>
      <c r="AD288" s="397"/>
      <c r="AE288" s="397"/>
      <c r="AF288" s="397"/>
      <c r="AG288" s="397"/>
      <c r="AH288" s="397"/>
      <c r="AI288" s="397"/>
      <c r="AJ288" s="397"/>
      <c r="AK288" s="397"/>
      <c r="AL288" s="397"/>
      <c r="AM288" s="397"/>
      <c r="AN288" s="397"/>
      <c r="AO288" s="397"/>
      <c r="AP288" s="397"/>
      <c r="AQ288" s="397"/>
      <c r="AR288" s="397"/>
      <c r="AS288" s="397"/>
      <c r="AT288" s="397"/>
      <c r="AU288" s="397"/>
      <c r="AV288" s="397"/>
      <c r="AW288" s="397"/>
      <c r="AX288" s="397"/>
      <c r="AY288" s="397"/>
      <c r="AZ288" s="397"/>
      <c r="BA288" s="397"/>
      <c r="BB288" s="397"/>
      <c r="BC288" s="397"/>
      <c r="BD288" s="397"/>
      <c r="BE288" s="397"/>
      <c r="BF288" s="397"/>
      <c r="BG288" s="397"/>
      <c r="BH288" s="397"/>
      <c r="BI288" s="397"/>
      <c r="BJ288" s="397"/>
      <c r="BK288" s="397"/>
      <c r="BL288" s="397"/>
      <c r="BM288" s="397"/>
      <c r="BN288" s="397"/>
    </row>
    <row r="289" spans="5:66" ht="14.25">
      <c r="E289" s="397"/>
      <c r="F289" s="397"/>
      <c r="G289" s="397"/>
      <c r="H289" s="397"/>
      <c r="I289" s="397"/>
      <c r="J289" s="397"/>
      <c r="K289" s="397"/>
      <c r="L289" s="397"/>
      <c r="M289" s="397"/>
      <c r="N289" s="397"/>
      <c r="O289" s="397"/>
      <c r="P289" s="397"/>
      <c r="Q289" s="397"/>
      <c r="R289" s="397"/>
      <c r="S289" s="397"/>
      <c r="T289" s="397"/>
      <c r="U289" s="397"/>
      <c r="V289" s="397"/>
      <c r="W289" s="397"/>
      <c r="X289" s="397"/>
      <c r="Y289" s="397"/>
      <c r="Z289" s="397"/>
      <c r="AA289" s="397"/>
      <c r="AB289" s="397"/>
      <c r="AC289" s="397"/>
      <c r="AD289" s="397"/>
      <c r="AE289" s="397"/>
      <c r="AF289" s="397"/>
      <c r="AG289" s="397"/>
      <c r="AH289" s="397"/>
      <c r="AI289" s="397"/>
      <c r="AJ289" s="397"/>
      <c r="AK289" s="397"/>
      <c r="AL289" s="397"/>
      <c r="AM289" s="397"/>
      <c r="AN289" s="397"/>
      <c r="AO289" s="397"/>
      <c r="AP289" s="397"/>
      <c r="AQ289" s="397"/>
      <c r="AR289" s="397"/>
      <c r="AS289" s="397"/>
      <c r="AT289" s="397"/>
      <c r="AU289" s="397"/>
      <c r="AV289" s="397"/>
      <c r="AW289" s="397"/>
      <c r="AX289" s="397"/>
      <c r="AY289" s="397"/>
      <c r="AZ289" s="397"/>
      <c r="BA289" s="397"/>
      <c r="BB289" s="397"/>
      <c r="BC289" s="397"/>
      <c r="BD289" s="397"/>
      <c r="BE289" s="397"/>
      <c r="BF289" s="397"/>
      <c r="BG289" s="397"/>
      <c r="BH289" s="397"/>
      <c r="BI289" s="397"/>
      <c r="BJ289" s="397"/>
      <c r="BK289" s="397"/>
      <c r="BL289" s="397"/>
      <c r="BM289" s="397"/>
      <c r="BN289" s="397"/>
    </row>
    <row r="290" spans="5:66" ht="14.25">
      <c r="E290" s="397"/>
      <c r="F290" s="397"/>
      <c r="G290" s="397"/>
      <c r="H290" s="397"/>
      <c r="I290" s="397"/>
      <c r="J290" s="397"/>
      <c r="K290" s="397"/>
      <c r="L290" s="397"/>
      <c r="M290" s="397"/>
      <c r="N290" s="397"/>
      <c r="O290" s="397"/>
      <c r="P290" s="397"/>
      <c r="Q290" s="397"/>
      <c r="R290" s="397"/>
      <c r="S290" s="397"/>
      <c r="T290" s="397"/>
      <c r="U290" s="397"/>
      <c r="V290" s="397"/>
      <c r="W290" s="397"/>
      <c r="X290" s="397"/>
      <c r="Y290" s="397"/>
      <c r="Z290" s="397"/>
      <c r="AA290" s="397"/>
      <c r="AB290" s="397"/>
      <c r="AC290" s="397"/>
      <c r="AD290" s="397"/>
      <c r="AE290" s="397"/>
      <c r="AF290" s="397"/>
      <c r="AG290" s="397"/>
      <c r="AH290" s="397"/>
      <c r="AI290" s="397"/>
      <c r="AJ290" s="397"/>
      <c r="AK290" s="397"/>
      <c r="AL290" s="397"/>
      <c r="AM290" s="397"/>
      <c r="AN290" s="397"/>
      <c r="AO290" s="397"/>
      <c r="AP290" s="397"/>
      <c r="AQ290" s="397"/>
      <c r="AR290" s="397"/>
      <c r="AS290" s="397"/>
      <c r="AT290" s="397"/>
      <c r="AU290" s="397"/>
      <c r="AV290" s="397"/>
      <c r="AW290" s="397"/>
      <c r="AX290" s="397"/>
      <c r="AY290" s="397"/>
      <c r="AZ290" s="397"/>
      <c r="BA290" s="397"/>
      <c r="BB290" s="397"/>
      <c r="BC290" s="397"/>
      <c r="BD290" s="397"/>
      <c r="BE290" s="397"/>
      <c r="BF290" s="397"/>
      <c r="BG290" s="397"/>
      <c r="BH290" s="397"/>
      <c r="BI290" s="397"/>
      <c r="BJ290" s="397"/>
      <c r="BK290" s="397"/>
      <c r="BL290" s="397"/>
      <c r="BM290" s="397"/>
      <c r="BN290" s="397"/>
    </row>
    <row r="291" spans="5:66" ht="14.25">
      <c r="E291" s="397"/>
      <c r="F291" s="397"/>
      <c r="G291" s="397"/>
      <c r="H291" s="397"/>
      <c r="I291" s="397"/>
      <c r="J291" s="397"/>
      <c r="K291" s="397"/>
      <c r="L291" s="397"/>
      <c r="M291" s="397"/>
      <c r="N291" s="397"/>
      <c r="O291" s="397"/>
      <c r="P291" s="397"/>
      <c r="Q291" s="397"/>
      <c r="R291" s="397"/>
      <c r="S291" s="397"/>
      <c r="T291" s="397"/>
      <c r="U291" s="397"/>
      <c r="V291" s="397"/>
      <c r="W291" s="397"/>
      <c r="X291" s="397"/>
      <c r="Y291" s="397"/>
      <c r="Z291" s="397"/>
      <c r="AA291" s="397"/>
      <c r="AB291" s="397"/>
      <c r="AC291" s="397"/>
      <c r="AD291" s="397"/>
      <c r="AE291" s="397"/>
      <c r="AF291" s="397"/>
      <c r="AG291" s="397"/>
      <c r="AH291" s="397"/>
      <c r="AI291" s="397"/>
      <c r="AJ291" s="397"/>
      <c r="AK291" s="397"/>
      <c r="AL291" s="397"/>
      <c r="AM291" s="397"/>
      <c r="AN291" s="397"/>
      <c r="AO291" s="397"/>
      <c r="AP291" s="397"/>
      <c r="AQ291" s="397"/>
      <c r="AR291" s="397"/>
      <c r="AS291" s="397"/>
      <c r="AT291" s="397"/>
      <c r="AU291" s="397"/>
      <c r="AV291" s="397"/>
      <c r="AW291" s="397"/>
      <c r="AX291" s="397"/>
      <c r="AY291" s="397"/>
      <c r="AZ291" s="397"/>
      <c r="BA291" s="397"/>
      <c r="BB291" s="397"/>
      <c r="BC291" s="397"/>
      <c r="BD291" s="397"/>
      <c r="BE291" s="397"/>
      <c r="BF291" s="397"/>
      <c r="BG291" s="397"/>
      <c r="BH291" s="397"/>
      <c r="BI291" s="397"/>
      <c r="BJ291" s="397"/>
      <c r="BK291" s="397"/>
      <c r="BL291" s="397"/>
      <c r="BM291" s="397"/>
      <c r="BN291" s="397"/>
    </row>
    <row r="292" spans="5:66" ht="14.25">
      <c r="E292" s="397"/>
      <c r="F292" s="397"/>
      <c r="G292" s="397"/>
      <c r="H292" s="397"/>
      <c r="I292" s="397"/>
      <c r="J292" s="397"/>
      <c r="K292" s="397"/>
      <c r="L292" s="397"/>
      <c r="M292" s="397"/>
      <c r="N292" s="397"/>
      <c r="O292" s="397"/>
      <c r="P292" s="397"/>
      <c r="Q292" s="397"/>
      <c r="R292" s="397"/>
      <c r="S292" s="397"/>
      <c r="T292" s="397"/>
      <c r="U292" s="397"/>
      <c r="V292" s="397"/>
      <c r="W292" s="397"/>
      <c r="X292" s="397"/>
      <c r="Y292" s="397"/>
      <c r="Z292" s="397"/>
      <c r="AA292" s="397"/>
      <c r="AB292" s="397"/>
      <c r="AC292" s="397"/>
      <c r="AD292" s="397"/>
      <c r="AE292" s="397"/>
      <c r="AF292" s="397"/>
      <c r="AG292" s="397"/>
      <c r="AH292" s="397"/>
      <c r="AI292" s="397"/>
      <c r="AJ292" s="397"/>
      <c r="AK292" s="397"/>
      <c r="AL292" s="397"/>
      <c r="AM292" s="397"/>
      <c r="AN292" s="397"/>
      <c r="AO292" s="397"/>
      <c r="AP292" s="397"/>
      <c r="AQ292" s="397"/>
      <c r="AR292" s="397"/>
      <c r="AS292" s="397"/>
      <c r="AT292" s="397"/>
      <c r="AU292" s="397"/>
      <c r="AV292" s="397"/>
      <c r="AW292" s="397"/>
      <c r="AX292" s="397"/>
      <c r="AY292" s="397"/>
      <c r="AZ292" s="397"/>
      <c r="BA292" s="397"/>
      <c r="BB292" s="397"/>
      <c r="BC292" s="397"/>
      <c r="BD292" s="397"/>
      <c r="BE292" s="397"/>
      <c r="BF292" s="397"/>
      <c r="BG292" s="397"/>
      <c r="BH292" s="397"/>
      <c r="BI292" s="397"/>
      <c r="BJ292" s="397"/>
      <c r="BK292" s="397"/>
      <c r="BL292" s="397"/>
      <c r="BM292" s="397"/>
      <c r="BN292" s="397"/>
    </row>
    <row r="293" spans="5:66" ht="14.25">
      <c r="E293" s="397"/>
      <c r="F293" s="397"/>
      <c r="G293" s="397"/>
      <c r="H293" s="397"/>
      <c r="I293" s="397"/>
      <c r="J293" s="397"/>
      <c r="K293" s="397"/>
      <c r="L293" s="397"/>
      <c r="M293" s="397"/>
      <c r="N293" s="397"/>
      <c r="O293" s="397"/>
      <c r="P293" s="397"/>
      <c r="Q293" s="397"/>
      <c r="R293" s="397"/>
      <c r="S293" s="397"/>
      <c r="T293" s="397"/>
      <c r="U293" s="397"/>
      <c r="V293" s="397"/>
      <c r="W293" s="397"/>
      <c r="X293" s="397"/>
      <c r="Y293" s="397"/>
      <c r="Z293" s="397"/>
      <c r="AA293" s="397"/>
      <c r="AB293" s="397"/>
      <c r="AC293" s="397"/>
      <c r="AD293" s="397"/>
      <c r="AE293" s="397"/>
      <c r="AF293" s="397"/>
      <c r="AG293" s="397"/>
      <c r="AH293" s="397"/>
      <c r="AI293" s="397"/>
      <c r="AJ293" s="397"/>
      <c r="AK293" s="397"/>
      <c r="AL293" s="397"/>
      <c r="AM293" s="397"/>
      <c r="AN293" s="397"/>
      <c r="AO293" s="397"/>
      <c r="AP293" s="397"/>
      <c r="AQ293" s="397"/>
      <c r="AR293" s="397"/>
      <c r="AS293" s="397"/>
      <c r="AT293" s="397"/>
      <c r="AU293" s="397"/>
      <c r="AV293" s="397"/>
      <c r="AW293" s="397"/>
      <c r="AX293" s="397"/>
      <c r="AY293" s="397"/>
      <c r="AZ293" s="397"/>
      <c r="BA293" s="397"/>
      <c r="BB293" s="397"/>
      <c r="BC293" s="397"/>
      <c r="BD293" s="397"/>
      <c r="BE293" s="397"/>
      <c r="BF293" s="397"/>
      <c r="BG293" s="397"/>
      <c r="BH293" s="397"/>
      <c r="BI293" s="397"/>
      <c r="BJ293" s="397"/>
      <c r="BK293" s="397"/>
      <c r="BL293" s="397"/>
      <c r="BM293" s="397"/>
      <c r="BN293" s="397"/>
    </row>
    <row r="294" spans="5:66" ht="14.25">
      <c r="E294" s="397"/>
      <c r="F294" s="397"/>
      <c r="G294" s="397"/>
      <c r="H294" s="397"/>
      <c r="I294" s="397"/>
      <c r="J294" s="397"/>
      <c r="K294" s="397"/>
      <c r="L294" s="397"/>
      <c r="M294" s="397"/>
      <c r="N294" s="397"/>
      <c r="O294" s="397"/>
      <c r="P294" s="397"/>
      <c r="Q294" s="397"/>
      <c r="R294" s="397"/>
      <c r="S294" s="397"/>
      <c r="T294" s="397"/>
      <c r="U294" s="397"/>
      <c r="V294" s="397"/>
      <c r="W294" s="397"/>
      <c r="X294" s="397"/>
      <c r="Y294" s="397"/>
      <c r="Z294" s="397"/>
      <c r="AA294" s="397"/>
      <c r="AB294" s="397"/>
      <c r="AC294" s="397"/>
      <c r="AD294" s="397"/>
      <c r="AE294" s="397"/>
      <c r="AF294" s="397"/>
      <c r="AG294" s="397"/>
      <c r="AH294" s="397"/>
      <c r="AI294" s="397"/>
      <c r="AJ294" s="397"/>
      <c r="AK294" s="397"/>
      <c r="AL294" s="397"/>
      <c r="AM294" s="397"/>
      <c r="AN294" s="397"/>
      <c r="AO294" s="397"/>
      <c r="AP294" s="397"/>
      <c r="AQ294" s="397"/>
      <c r="AR294" s="397"/>
      <c r="AS294" s="397"/>
      <c r="AT294" s="397"/>
      <c r="AU294" s="397"/>
      <c r="AV294" s="397"/>
      <c r="AW294" s="397"/>
      <c r="AX294" s="397"/>
      <c r="AY294" s="397"/>
      <c r="AZ294" s="397"/>
      <c r="BA294" s="397"/>
      <c r="BB294" s="397"/>
      <c r="BC294" s="397"/>
      <c r="BD294" s="397"/>
      <c r="BE294" s="397"/>
      <c r="BF294" s="397"/>
      <c r="BG294" s="397"/>
      <c r="BH294" s="397"/>
      <c r="BI294" s="397"/>
      <c r="BJ294" s="397"/>
      <c r="BK294" s="397"/>
      <c r="BL294" s="397"/>
      <c r="BM294" s="397"/>
      <c r="BN294" s="397"/>
    </row>
    <row r="295" spans="5:66" ht="14.25">
      <c r="E295" s="397"/>
      <c r="F295" s="397"/>
      <c r="G295" s="397"/>
      <c r="H295" s="397"/>
      <c r="I295" s="397"/>
      <c r="J295" s="397"/>
      <c r="K295" s="397"/>
      <c r="L295" s="397"/>
      <c r="M295" s="397"/>
      <c r="N295" s="397"/>
      <c r="O295" s="397"/>
      <c r="P295" s="397"/>
      <c r="Q295" s="397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397"/>
      <c r="AF295" s="397"/>
      <c r="AG295" s="397"/>
      <c r="AH295" s="397"/>
      <c r="AI295" s="397"/>
      <c r="AJ295" s="397"/>
      <c r="AK295" s="397"/>
      <c r="AL295" s="397"/>
      <c r="AM295" s="397"/>
      <c r="AN295" s="397"/>
      <c r="AO295" s="397"/>
      <c r="AP295" s="397"/>
      <c r="AQ295" s="397"/>
      <c r="AR295" s="397"/>
      <c r="AS295" s="397"/>
      <c r="AT295" s="397"/>
      <c r="AU295" s="397"/>
      <c r="AV295" s="397"/>
      <c r="AW295" s="397"/>
      <c r="AX295" s="397"/>
      <c r="AY295" s="397"/>
      <c r="AZ295" s="397"/>
      <c r="BA295" s="397"/>
      <c r="BB295" s="397"/>
      <c r="BC295" s="397"/>
      <c r="BD295" s="397"/>
      <c r="BE295" s="397"/>
      <c r="BF295" s="397"/>
      <c r="BG295" s="397"/>
      <c r="BH295" s="397"/>
      <c r="BI295" s="397"/>
      <c r="BJ295" s="397"/>
      <c r="BK295" s="397"/>
      <c r="BL295" s="397"/>
      <c r="BM295" s="397"/>
      <c r="BN295" s="397"/>
    </row>
    <row r="296" spans="5:66" ht="14.25">
      <c r="E296" s="397"/>
      <c r="F296" s="397"/>
      <c r="G296" s="397"/>
      <c r="H296" s="397"/>
      <c r="I296" s="397"/>
      <c r="J296" s="397"/>
      <c r="K296" s="397"/>
      <c r="L296" s="397"/>
      <c r="M296" s="397"/>
      <c r="N296" s="397"/>
      <c r="O296" s="397"/>
      <c r="P296" s="397"/>
      <c r="Q296" s="397"/>
      <c r="R296" s="397"/>
      <c r="S296" s="397"/>
      <c r="T296" s="397"/>
      <c r="U296" s="397"/>
      <c r="V296" s="397"/>
      <c r="W296" s="397"/>
      <c r="X296" s="397"/>
      <c r="Y296" s="397"/>
      <c r="Z296" s="397"/>
      <c r="AA296" s="397"/>
      <c r="AB296" s="397"/>
      <c r="AC296" s="397"/>
      <c r="AD296" s="397"/>
      <c r="AE296" s="397"/>
      <c r="AF296" s="397"/>
      <c r="AG296" s="397"/>
      <c r="AH296" s="397"/>
      <c r="AI296" s="397"/>
      <c r="AJ296" s="397"/>
      <c r="AK296" s="397"/>
      <c r="AL296" s="397"/>
      <c r="AM296" s="397"/>
      <c r="AN296" s="397"/>
      <c r="AO296" s="397"/>
      <c r="AP296" s="397"/>
      <c r="AQ296" s="397"/>
      <c r="AR296" s="397"/>
      <c r="AS296" s="397"/>
      <c r="AT296" s="397"/>
      <c r="AU296" s="397"/>
      <c r="AV296" s="397"/>
      <c r="AW296" s="397"/>
      <c r="AX296" s="397"/>
      <c r="AY296" s="397"/>
      <c r="AZ296" s="397"/>
      <c r="BA296" s="397"/>
      <c r="BB296" s="397"/>
      <c r="BC296" s="397"/>
      <c r="BD296" s="397"/>
      <c r="BE296" s="397"/>
      <c r="BF296" s="397"/>
      <c r="BG296" s="397"/>
      <c r="BH296" s="397"/>
      <c r="BI296" s="397"/>
      <c r="BJ296" s="397"/>
      <c r="BK296" s="397"/>
      <c r="BL296" s="397"/>
      <c r="BM296" s="397"/>
      <c r="BN296" s="397"/>
    </row>
    <row r="297" spans="5:66" ht="14.25">
      <c r="E297" s="397"/>
      <c r="F297" s="397"/>
      <c r="G297" s="397"/>
      <c r="H297" s="397"/>
      <c r="I297" s="397"/>
      <c r="J297" s="397"/>
      <c r="K297" s="397"/>
      <c r="L297" s="397"/>
      <c r="M297" s="397"/>
      <c r="N297" s="397"/>
      <c r="O297" s="397"/>
      <c r="P297" s="397"/>
      <c r="Q297" s="397"/>
      <c r="R297" s="397"/>
      <c r="S297" s="397"/>
      <c r="T297" s="397"/>
      <c r="U297" s="397"/>
      <c r="V297" s="397"/>
      <c r="W297" s="397"/>
      <c r="X297" s="397"/>
      <c r="Y297" s="397"/>
      <c r="Z297" s="397"/>
      <c r="AA297" s="397"/>
      <c r="AB297" s="397"/>
      <c r="AC297" s="397"/>
      <c r="AD297" s="397"/>
      <c r="AE297" s="397"/>
      <c r="AF297" s="397"/>
      <c r="AG297" s="397"/>
      <c r="AH297" s="397"/>
      <c r="AI297" s="397"/>
      <c r="AJ297" s="397"/>
      <c r="AK297" s="397"/>
      <c r="AL297" s="397"/>
      <c r="AM297" s="397"/>
      <c r="AN297" s="397"/>
      <c r="AO297" s="397"/>
      <c r="AP297" s="397"/>
      <c r="AQ297" s="397"/>
      <c r="AR297" s="397"/>
      <c r="AS297" s="397"/>
      <c r="AT297" s="397"/>
      <c r="AU297" s="397"/>
      <c r="AV297" s="397"/>
      <c r="AW297" s="397"/>
      <c r="AX297" s="397"/>
      <c r="AY297" s="397"/>
      <c r="AZ297" s="397"/>
      <c r="BA297" s="397"/>
      <c r="BB297" s="397"/>
      <c r="BC297" s="397"/>
      <c r="BD297" s="397"/>
      <c r="BE297" s="397"/>
      <c r="BF297" s="397"/>
      <c r="BG297" s="397"/>
      <c r="BH297" s="397"/>
      <c r="BI297" s="397"/>
      <c r="BJ297" s="397"/>
      <c r="BK297" s="397"/>
      <c r="BL297" s="397"/>
      <c r="BM297" s="397"/>
      <c r="BN297" s="397"/>
    </row>
    <row r="298" spans="5:66" ht="14.25">
      <c r="E298" s="397"/>
      <c r="F298" s="397"/>
      <c r="G298" s="397"/>
      <c r="H298" s="397"/>
      <c r="I298" s="397"/>
      <c r="J298" s="397"/>
      <c r="K298" s="397"/>
      <c r="L298" s="397"/>
      <c r="M298" s="397"/>
      <c r="N298" s="397"/>
      <c r="O298" s="397"/>
      <c r="P298" s="397"/>
      <c r="Q298" s="397"/>
      <c r="R298" s="397"/>
      <c r="S298" s="397"/>
      <c r="T298" s="397"/>
      <c r="U298" s="397"/>
      <c r="V298" s="397"/>
      <c r="W298" s="397"/>
      <c r="X298" s="397"/>
      <c r="Y298" s="397"/>
      <c r="Z298" s="397"/>
      <c r="AA298" s="397"/>
      <c r="AB298" s="397"/>
      <c r="AC298" s="397"/>
      <c r="AD298" s="397"/>
      <c r="AE298" s="397"/>
      <c r="AF298" s="397"/>
      <c r="AG298" s="397"/>
      <c r="AH298" s="397"/>
      <c r="AI298" s="397"/>
      <c r="AJ298" s="397"/>
      <c r="AK298" s="397"/>
      <c r="AL298" s="397"/>
      <c r="AM298" s="397"/>
      <c r="AN298" s="397"/>
      <c r="AO298" s="397"/>
      <c r="AP298" s="397"/>
      <c r="AQ298" s="397"/>
      <c r="AR298" s="397"/>
      <c r="AS298" s="397"/>
      <c r="AT298" s="397"/>
      <c r="AU298" s="397"/>
      <c r="AV298" s="397"/>
      <c r="AW298" s="397"/>
      <c r="AX298" s="397"/>
      <c r="AY298" s="397"/>
      <c r="AZ298" s="397"/>
      <c r="BA298" s="397"/>
      <c r="BB298" s="397"/>
      <c r="BC298" s="397"/>
      <c r="BD298" s="397"/>
      <c r="BE298" s="397"/>
      <c r="BF298" s="397"/>
      <c r="BG298" s="397"/>
      <c r="BH298" s="397"/>
      <c r="BI298" s="397"/>
      <c r="BJ298" s="397"/>
      <c r="BK298" s="397"/>
      <c r="BL298" s="397"/>
      <c r="BM298" s="397"/>
      <c r="BN298" s="397"/>
    </row>
    <row r="299" spans="5:66" ht="14.25">
      <c r="E299" s="397"/>
      <c r="F299" s="397"/>
      <c r="G299" s="397"/>
      <c r="H299" s="397"/>
      <c r="I299" s="397"/>
      <c r="J299" s="397"/>
      <c r="K299" s="397"/>
      <c r="L299" s="397"/>
      <c r="M299" s="397"/>
      <c r="N299" s="397"/>
      <c r="O299" s="397"/>
      <c r="P299" s="397"/>
      <c r="Q299" s="397"/>
      <c r="R299" s="397"/>
      <c r="S299" s="397"/>
      <c r="T299" s="397"/>
      <c r="U299" s="397"/>
      <c r="V299" s="397"/>
      <c r="W299" s="397"/>
      <c r="X299" s="397"/>
      <c r="Y299" s="397"/>
      <c r="Z299" s="397"/>
      <c r="AA299" s="397"/>
      <c r="AB299" s="397"/>
      <c r="AC299" s="397"/>
      <c r="AD299" s="397"/>
      <c r="AE299" s="397"/>
      <c r="AF299" s="397"/>
      <c r="AG299" s="397"/>
      <c r="AH299" s="397"/>
      <c r="AI299" s="397"/>
      <c r="AJ299" s="397"/>
      <c r="AK299" s="397"/>
      <c r="AL299" s="397"/>
      <c r="AM299" s="397"/>
      <c r="AN299" s="397"/>
      <c r="AO299" s="397"/>
      <c r="AP299" s="397"/>
      <c r="AQ299" s="397"/>
      <c r="AR299" s="397"/>
      <c r="AS299" s="397"/>
      <c r="AT299" s="397"/>
      <c r="AU299" s="397"/>
      <c r="AV299" s="397"/>
      <c r="AW299" s="397"/>
      <c r="AX299" s="397"/>
      <c r="AY299" s="397"/>
      <c r="AZ299" s="397"/>
      <c r="BA299" s="397"/>
      <c r="BB299" s="397"/>
      <c r="BC299" s="397"/>
      <c r="BD299" s="397"/>
      <c r="BE299" s="397"/>
      <c r="BF299" s="397"/>
      <c r="BG299" s="397"/>
      <c r="BH299" s="397"/>
      <c r="BI299" s="397"/>
      <c r="BJ299" s="397"/>
      <c r="BK299" s="397"/>
      <c r="BL299" s="397"/>
      <c r="BM299" s="397"/>
      <c r="BN299" s="397"/>
    </row>
    <row r="300" spans="5:66" ht="14.25">
      <c r="E300" s="397"/>
      <c r="F300" s="397"/>
      <c r="G300" s="397"/>
      <c r="H300" s="397"/>
      <c r="I300" s="397"/>
      <c r="J300" s="397"/>
      <c r="K300" s="397"/>
      <c r="L300" s="397"/>
      <c r="M300" s="397"/>
      <c r="N300" s="397"/>
      <c r="O300" s="397"/>
      <c r="P300" s="397"/>
      <c r="Q300" s="397"/>
      <c r="R300" s="397"/>
      <c r="S300" s="397"/>
      <c r="T300" s="397"/>
      <c r="U300" s="397"/>
      <c r="V300" s="397"/>
      <c r="W300" s="397"/>
      <c r="X300" s="397"/>
      <c r="Y300" s="397"/>
      <c r="Z300" s="397"/>
      <c r="AA300" s="397"/>
      <c r="AB300" s="397"/>
      <c r="AC300" s="397"/>
      <c r="AD300" s="397"/>
      <c r="AE300" s="397"/>
      <c r="AF300" s="397"/>
      <c r="AG300" s="397"/>
      <c r="AH300" s="397"/>
      <c r="AI300" s="397"/>
      <c r="AJ300" s="397"/>
      <c r="AK300" s="397"/>
      <c r="AL300" s="397"/>
      <c r="AM300" s="397"/>
      <c r="AN300" s="397"/>
      <c r="AO300" s="397"/>
      <c r="AP300" s="397"/>
      <c r="AQ300" s="397"/>
      <c r="AR300" s="397"/>
      <c r="AS300" s="397"/>
      <c r="AT300" s="397"/>
      <c r="AU300" s="397"/>
      <c r="AV300" s="397"/>
      <c r="AW300" s="397"/>
      <c r="AX300" s="397"/>
      <c r="AY300" s="397"/>
      <c r="AZ300" s="397"/>
      <c r="BA300" s="397"/>
      <c r="BB300" s="397"/>
      <c r="BC300" s="397"/>
      <c r="BD300" s="397"/>
      <c r="BE300" s="397"/>
      <c r="BF300" s="397"/>
      <c r="BG300" s="397"/>
      <c r="BH300" s="397"/>
      <c r="BI300" s="397"/>
      <c r="BJ300" s="397"/>
      <c r="BK300" s="397"/>
      <c r="BL300" s="397"/>
      <c r="BM300" s="397"/>
      <c r="BN300" s="397"/>
    </row>
    <row r="301" spans="5:66" ht="14.25">
      <c r="E301" s="397"/>
      <c r="F301" s="397"/>
      <c r="G301" s="397"/>
      <c r="H301" s="397"/>
      <c r="I301" s="397"/>
      <c r="J301" s="397"/>
      <c r="K301" s="397"/>
      <c r="L301" s="397"/>
      <c r="M301" s="397"/>
      <c r="N301" s="397"/>
      <c r="O301" s="397"/>
      <c r="P301" s="397"/>
      <c r="Q301" s="397"/>
      <c r="R301" s="397"/>
      <c r="S301" s="397"/>
      <c r="T301" s="397"/>
      <c r="U301" s="397"/>
      <c r="V301" s="397"/>
      <c r="W301" s="397"/>
      <c r="X301" s="397"/>
      <c r="Y301" s="397"/>
      <c r="Z301" s="397"/>
      <c r="AA301" s="397"/>
      <c r="AB301" s="397"/>
      <c r="AC301" s="397"/>
      <c r="AD301" s="397"/>
      <c r="AE301" s="397"/>
      <c r="AF301" s="397"/>
      <c r="AG301" s="397"/>
      <c r="AH301" s="397"/>
      <c r="AI301" s="397"/>
      <c r="AJ301" s="397"/>
      <c r="AK301" s="397"/>
      <c r="AL301" s="397"/>
      <c r="AM301" s="397"/>
      <c r="AN301" s="397"/>
      <c r="AO301" s="397"/>
      <c r="AP301" s="397"/>
      <c r="AQ301" s="397"/>
      <c r="AR301" s="397"/>
      <c r="AS301" s="397"/>
      <c r="AT301" s="397"/>
      <c r="AU301" s="397"/>
      <c r="AV301" s="397"/>
      <c r="AW301" s="397"/>
      <c r="AX301" s="397"/>
      <c r="AY301" s="397"/>
      <c r="AZ301" s="397"/>
      <c r="BA301" s="397"/>
      <c r="BB301" s="397"/>
      <c r="BC301" s="397"/>
      <c r="BD301" s="397"/>
      <c r="BE301" s="397"/>
      <c r="BF301" s="397"/>
      <c r="BG301" s="397"/>
      <c r="BH301" s="397"/>
      <c r="BI301" s="397"/>
      <c r="BJ301" s="397"/>
      <c r="BK301" s="397"/>
      <c r="BL301" s="397"/>
      <c r="BM301" s="397"/>
      <c r="BN301" s="397"/>
    </row>
    <row r="302" spans="5:66" ht="14.25">
      <c r="E302" s="397"/>
      <c r="F302" s="397"/>
      <c r="G302" s="397"/>
      <c r="H302" s="397"/>
      <c r="I302" s="397"/>
      <c r="J302" s="397"/>
      <c r="K302" s="397"/>
      <c r="L302" s="397"/>
      <c r="M302" s="397"/>
      <c r="N302" s="397"/>
      <c r="O302" s="397"/>
      <c r="P302" s="397"/>
      <c r="Q302" s="397"/>
      <c r="R302" s="397"/>
      <c r="S302" s="397"/>
      <c r="T302" s="397"/>
      <c r="U302" s="397"/>
      <c r="V302" s="397"/>
      <c r="W302" s="397"/>
      <c r="X302" s="397"/>
      <c r="Y302" s="397"/>
      <c r="Z302" s="397"/>
      <c r="AA302" s="397"/>
      <c r="AB302" s="397"/>
      <c r="AC302" s="397"/>
      <c r="AD302" s="397"/>
      <c r="AE302" s="397"/>
      <c r="AF302" s="397"/>
      <c r="AG302" s="397"/>
      <c r="AH302" s="397"/>
      <c r="AI302" s="397"/>
      <c r="AJ302" s="397"/>
      <c r="AK302" s="397"/>
      <c r="AL302" s="397"/>
      <c r="AM302" s="397"/>
      <c r="AN302" s="397"/>
      <c r="AO302" s="397"/>
      <c r="AP302" s="397"/>
      <c r="AQ302" s="397"/>
      <c r="AR302" s="397"/>
      <c r="AS302" s="397"/>
      <c r="AT302" s="397"/>
      <c r="AU302" s="397"/>
      <c r="AV302" s="397"/>
      <c r="AW302" s="397"/>
      <c r="AX302" s="397"/>
      <c r="AY302" s="397"/>
      <c r="AZ302" s="397"/>
      <c r="BA302" s="397"/>
      <c r="BB302" s="397"/>
      <c r="BC302" s="397"/>
      <c r="BD302" s="397"/>
      <c r="BE302" s="397"/>
      <c r="BF302" s="397"/>
      <c r="BG302" s="397"/>
      <c r="BH302" s="397"/>
      <c r="BI302" s="397"/>
      <c r="BJ302" s="397"/>
      <c r="BK302" s="397"/>
      <c r="BL302" s="397"/>
      <c r="BM302" s="397"/>
      <c r="BN302" s="397"/>
    </row>
    <row r="303" spans="5:66" ht="14.25">
      <c r="E303" s="397"/>
      <c r="F303" s="397"/>
      <c r="G303" s="397"/>
      <c r="H303" s="397"/>
      <c r="I303" s="397"/>
      <c r="J303" s="397"/>
      <c r="K303" s="397"/>
      <c r="L303" s="397"/>
      <c r="M303" s="397"/>
      <c r="N303" s="397"/>
      <c r="O303" s="397"/>
      <c r="P303" s="397"/>
      <c r="Q303" s="397"/>
      <c r="R303" s="397"/>
      <c r="S303" s="397"/>
      <c r="T303" s="397"/>
      <c r="U303" s="397"/>
      <c r="V303" s="397"/>
      <c r="W303" s="397"/>
      <c r="X303" s="397"/>
      <c r="Y303" s="397"/>
      <c r="Z303" s="397"/>
      <c r="AA303" s="397"/>
      <c r="AB303" s="397"/>
      <c r="AC303" s="397"/>
      <c r="AD303" s="397"/>
      <c r="AE303" s="397"/>
      <c r="AF303" s="397"/>
      <c r="AG303" s="397"/>
      <c r="AH303" s="397"/>
      <c r="AI303" s="397"/>
      <c r="AJ303" s="397"/>
      <c r="AK303" s="397"/>
      <c r="AL303" s="397"/>
      <c r="AM303" s="397"/>
      <c r="AN303" s="397"/>
      <c r="AO303" s="397"/>
      <c r="AP303" s="397"/>
      <c r="AQ303" s="397"/>
      <c r="AR303" s="397"/>
      <c r="AS303" s="397"/>
      <c r="AT303" s="397"/>
      <c r="AU303" s="397"/>
      <c r="AV303" s="397"/>
      <c r="AW303" s="397"/>
      <c r="AX303" s="397"/>
      <c r="AY303" s="397"/>
      <c r="AZ303" s="397"/>
      <c r="BA303" s="397"/>
      <c r="BB303" s="397"/>
      <c r="BC303" s="397"/>
      <c r="BD303" s="397"/>
      <c r="BE303" s="397"/>
      <c r="BF303" s="397"/>
      <c r="BG303" s="397"/>
      <c r="BH303" s="397"/>
      <c r="BI303" s="397"/>
      <c r="BJ303" s="397"/>
      <c r="BK303" s="397"/>
      <c r="BL303" s="397"/>
      <c r="BM303" s="397"/>
      <c r="BN303" s="397"/>
    </row>
    <row r="304" spans="5:66" ht="14.25">
      <c r="E304" s="397"/>
      <c r="F304" s="397"/>
      <c r="G304" s="397"/>
      <c r="H304" s="397"/>
      <c r="I304" s="397"/>
      <c r="J304" s="397"/>
      <c r="K304" s="397"/>
      <c r="L304" s="397"/>
      <c r="M304" s="397"/>
      <c r="N304" s="397"/>
      <c r="O304" s="397"/>
      <c r="P304" s="397"/>
      <c r="Q304" s="397"/>
      <c r="R304" s="397"/>
      <c r="S304" s="397"/>
      <c r="T304" s="397"/>
      <c r="U304" s="397"/>
      <c r="V304" s="397"/>
      <c r="W304" s="397"/>
      <c r="X304" s="397"/>
      <c r="Y304" s="397"/>
      <c r="Z304" s="397"/>
      <c r="AA304" s="397"/>
      <c r="AB304" s="397"/>
      <c r="AC304" s="397"/>
      <c r="AD304" s="397"/>
      <c r="AE304" s="397"/>
      <c r="AF304" s="397"/>
      <c r="AG304" s="397"/>
      <c r="AH304" s="397"/>
      <c r="AI304" s="397"/>
      <c r="AJ304" s="397"/>
      <c r="AK304" s="397"/>
      <c r="AL304" s="397"/>
      <c r="AM304" s="397"/>
      <c r="AN304" s="397"/>
      <c r="AO304" s="397"/>
      <c r="AP304" s="397"/>
      <c r="AQ304" s="397"/>
      <c r="AR304" s="397"/>
      <c r="AS304" s="397"/>
      <c r="AT304" s="397"/>
      <c r="AU304" s="397"/>
      <c r="AV304" s="397"/>
      <c r="AW304" s="397"/>
      <c r="AX304" s="397"/>
      <c r="AY304" s="397"/>
      <c r="AZ304" s="397"/>
      <c r="BA304" s="397"/>
      <c r="BB304" s="397"/>
      <c r="BC304" s="397"/>
      <c r="BD304" s="397"/>
      <c r="BE304" s="397"/>
      <c r="BF304" s="397"/>
      <c r="BG304" s="397"/>
      <c r="BH304" s="397"/>
      <c r="BI304" s="397"/>
      <c r="BJ304" s="397"/>
      <c r="BK304" s="397"/>
      <c r="BL304" s="397"/>
      <c r="BM304" s="397"/>
      <c r="BN304" s="397"/>
    </row>
    <row r="305" spans="5:66" ht="14.25">
      <c r="E305" s="397"/>
      <c r="F305" s="397"/>
      <c r="G305" s="397"/>
      <c r="H305" s="397"/>
      <c r="I305" s="397"/>
      <c r="J305" s="397"/>
      <c r="K305" s="397"/>
      <c r="L305" s="397"/>
      <c r="M305" s="397"/>
      <c r="N305" s="397"/>
      <c r="O305" s="397"/>
      <c r="P305" s="397"/>
      <c r="Q305" s="397"/>
      <c r="R305" s="397"/>
      <c r="S305" s="397"/>
      <c r="T305" s="397"/>
      <c r="U305" s="397"/>
      <c r="V305" s="397"/>
      <c r="W305" s="397"/>
      <c r="X305" s="397"/>
      <c r="Y305" s="397"/>
      <c r="Z305" s="397"/>
      <c r="AA305" s="397"/>
      <c r="AB305" s="397"/>
      <c r="AC305" s="397"/>
      <c r="AD305" s="397"/>
      <c r="AE305" s="397"/>
      <c r="AF305" s="397"/>
      <c r="AG305" s="397"/>
      <c r="AH305" s="397"/>
      <c r="AI305" s="397"/>
      <c r="AJ305" s="397"/>
      <c r="AK305" s="397"/>
      <c r="AL305" s="397"/>
      <c r="AM305" s="397"/>
      <c r="AN305" s="397"/>
      <c r="AO305" s="397"/>
      <c r="AP305" s="397"/>
      <c r="AQ305" s="397"/>
      <c r="AR305" s="397"/>
      <c r="AS305" s="397"/>
      <c r="AT305" s="397"/>
      <c r="AU305" s="397"/>
      <c r="AV305" s="397"/>
      <c r="AW305" s="397"/>
      <c r="AX305" s="397"/>
      <c r="AY305" s="397"/>
      <c r="AZ305" s="397"/>
      <c r="BA305" s="397"/>
      <c r="BB305" s="397"/>
      <c r="BC305" s="397"/>
      <c r="BD305" s="397"/>
      <c r="BE305" s="397"/>
      <c r="BF305" s="397"/>
      <c r="BG305" s="397"/>
      <c r="BH305" s="397"/>
      <c r="BI305" s="397"/>
      <c r="BJ305" s="397"/>
      <c r="BK305" s="397"/>
      <c r="BL305" s="397"/>
      <c r="BM305" s="397"/>
      <c r="BN305" s="397"/>
    </row>
    <row r="306" spans="5:66" ht="14.25">
      <c r="E306" s="397"/>
      <c r="F306" s="397"/>
      <c r="G306" s="397"/>
      <c r="H306" s="397"/>
      <c r="I306" s="397"/>
      <c r="J306" s="397"/>
      <c r="K306" s="397"/>
      <c r="L306" s="397"/>
      <c r="M306" s="397"/>
      <c r="N306" s="397"/>
      <c r="O306" s="397"/>
      <c r="P306" s="397"/>
      <c r="Q306" s="397"/>
      <c r="R306" s="397"/>
      <c r="S306" s="397"/>
      <c r="T306" s="397"/>
      <c r="U306" s="397"/>
      <c r="V306" s="397"/>
      <c r="W306" s="397"/>
      <c r="X306" s="397"/>
      <c r="Y306" s="397"/>
      <c r="Z306" s="397"/>
      <c r="AA306" s="397"/>
      <c r="AB306" s="397"/>
      <c r="AC306" s="397"/>
      <c r="AD306" s="397"/>
      <c r="AE306" s="397"/>
      <c r="AF306" s="397"/>
      <c r="AG306" s="397"/>
      <c r="AH306" s="397"/>
      <c r="AI306" s="397"/>
      <c r="AJ306" s="397"/>
      <c r="AK306" s="397"/>
      <c r="AL306" s="397"/>
      <c r="AM306" s="397"/>
      <c r="AN306" s="397"/>
      <c r="AO306" s="397"/>
      <c r="AP306" s="397"/>
      <c r="AQ306" s="397"/>
      <c r="AR306" s="397"/>
      <c r="AS306" s="397"/>
      <c r="AT306" s="397"/>
      <c r="AU306" s="397"/>
      <c r="AV306" s="397"/>
      <c r="AW306" s="397"/>
      <c r="AX306" s="397"/>
      <c r="AY306" s="397"/>
      <c r="AZ306" s="397"/>
      <c r="BA306" s="397"/>
      <c r="BB306" s="397"/>
      <c r="BC306" s="397"/>
      <c r="BD306" s="397"/>
      <c r="BE306" s="397"/>
      <c r="BF306" s="397"/>
      <c r="BG306" s="397"/>
      <c r="BH306" s="397"/>
      <c r="BI306" s="397"/>
      <c r="BJ306" s="397"/>
      <c r="BK306" s="397"/>
      <c r="BL306" s="397"/>
      <c r="BM306" s="397"/>
      <c r="BN306" s="397"/>
    </row>
    <row r="307" spans="5:66" ht="14.25"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7"/>
      <c r="T307" s="397"/>
      <c r="U307" s="397"/>
      <c r="V307" s="397"/>
      <c r="W307" s="397"/>
      <c r="X307" s="397"/>
      <c r="Y307" s="397"/>
      <c r="Z307" s="397"/>
      <c r="AA307" s="397"/>
      <c r="AB307" s="397"/>
      <c r="AC307" s="397"/>
      <c r="AD307" s="397"/>
      <c r="AE307" s="397"/>
      <c r="AF307" s="397"/>
      <c r="AG307" s="397"/>
      <c r="AH307" s="397"/>
      <c r="AI307" s="397"/>
      <c r="AJ307" s="397"/>
      <c r="AK307" s="397"/>
      <c r="AL307" s="397"/>
      <c r="AM307" s="397"/>
      <c r="AN307" s="397"/>
      <c r="AO307" s="397"/>
      <c r="AP307" s="397"/>
      <c r="AQ307" s="397"/>
      <c r="AR307" s="397"/>
      <c r="AS307" s="397"/>
      <c r="AT307" s="397"/>
      <c r="AU307" s="397"/>
      <c r="AV307" s="397"/>
      <c r="AW307" s="397"/>
      <c r="AX307" s="397"/>
      <c r="AY307" s="397"/>
      <c r="AZ307" s="397"/>
      <c r="BA307" s="397"/>
      <c r="BB307" s="397"/>
      <c r="BC307" s="397"/>
      <c r="BD307" s="397"/>
      <c r="BE307" s="397"/>
      <c r="BF307" s="397"/>
      <c r="BG307" s="397"/>
      <c r="BH307" s="397"/>
      <c r="BI307" s="397"/>
      <c r="BJ307" s="397"/>
      <c r="BK307" s="397"/>
      <c r="BL307" s="397"/>
      <c r="BM307" s="397"/>
      <c r="BN307" s="397"/>
    </row>
    <row r="308" spans="5:66" ht="14.25">
      <c r="E308" s="397"/>
      <c r="F308" s="397"/>
      <c r="G308" s="397"/>
      <c r="H308" s="397"/>
      <c r="I308" s="397"/>
      <c r="J308" s="397"/>
      <c r="K308" s="397"/>
      <c r="L308" s="397"/>
      <c r="M308" s="397"/>
      <c r="N308" s="397"/>
      <c r="O308" s="397"/>
      <c r="P308" s="397"/>
      <c r="Q308" s="397"/>
      <c r="R308" s="397"/>
      <c r="S308" s="397"/>
      <c r="T308" s="397"/>
      <c r="U308" s="397"/>
      <c r="V308" s="397"/>
      <c r="W308" s="397"/>
      <c r="X308" s="397"/>
      <c r="Y308" s="397"/>
      <c r="Z308" s="397"/>
      <c r="AA308" s="397"/>
      <c r="AB308" s="397"/>
      <c r="AC308" s="397"/>
      <c r="AD308" s="397"/>
      <c r="AE308" s="397"/>
      <c r="AF308" s="397"/>
      <c r="AG308" s="397"/>
      <c r="AH308" s="397"/>
      <c r="AI308" s="397"/>
      <c r="AJ308" s="397"/>
      <c r="AK308" s="397"/>
      <c r="AL308" s="397"/>
      <c r="AM308" s="397"/>
      <c r="AN308" s="397"/>
      <c r="AO308" s="397"/>
      <c r="AP308" s="397"/>
      <c r="AQ308" s="397"/>
      <c r="AR308" s="397"/>
      <c r="AS308" s="397"/>
      <c r="AT308" s="397"/>
      <c r="AU308" s="397"/>
      <c r="AV308" s="397"/>
      <c r="AW308" s="397"/>
      <c r="AX308" s="397"/>
      <c r="AY308" s="397"/>
      <c r="AZ308" s="397"/>
      <c r="BA308" s="397"/>
      <c r="BB308" s="397"/>
      <c r="BC308" s="397"/>
      <c r="BD308" s="397"/>
      <c r="BE308" s="397"/>
      <c r="BF308" s="397"/>
      <c r="BG308" s="397"/>
      <c r="BH308" s="397"/>
      <c r="BI308" s="397"/>
      <c r="BJ308" s="397"/>
      <c r="BK308" s="397"/>
      <c r="BL308" s="397"/>
      <c r="BM308" s="397"/>
      <c r="BN308" s="397"/>
    </row>
    <row r="309" spans="5:66" ht="14.25">
      <c r="E309" s="397"/>
      <c r="F309" s="397"/>
      <c r="G309" s="397"/>
      <c r="H309" s="397"/>
      <c r="I309" s="397"/>
      <c r="J309" s="397"/>
      <c r="K309" s="397"/>
      <c r="L309" s="397"/>
      <c r="M309" s="397"/>
      <c r="N309" s="397"/>
      <c r="O309" s="397"/>
      <c r="P309" s="397"/>
      <c r="Q309" s="397"/>
      <c r="R309" s="397"/>
      <c r="S309" s="397"/>
      <c r="T309" s="397"/>
      <c r="U309" s="397"/>
      <c r="V309" s="397"/>
      <c r="W309" s="397"/>
      <c r="X309" s="397"/>
      <c r="Y309" s="397"/>
      <c r="Z309" s="397"/>
      <c r="AA309" s="397"/>
      <c r="AB309" s="397"/>
      <c r="AC309" s="397"/>
      <c r="AD309" s="397"/>
      <c r="AE309" s="397"/>
      <c r="AF309" s="397"/>
      <c r="AG309" s="397"/>
      <c r="AH309" s="397"/>
      <c r="AI309" s="397"/>
      <c r="AJ309" s="397"/>
      <c r="AK309" s="397"/>
      <c r="AL309" s="397"/>
      <c r="AM309" s="397"/>
      <c r="AN309" s="397"/>
      <c r="AO309" s="397"/>
      <c r="AP309" s="397"/>
      <c r="AQ309" s="397"/>
      <c r="AR309" s="397"/>
      <c r="AS309" s="397"/>
      <c r="AT309" s="397"/>
      <c r="AU309" s="397"/>
      <c r="AV309" s="397"/>
      <c r="AW309" s="397"/>
      <c r="AX309" s="397"/>
      <c r="AY309" s="397"/>
      <c r="AZ309" s="397"/>
      <c r="BA309" s="397"/>
      <c r="BB309" s="397"/>
      <c r="BC309" s="397"/>
      <c r="BD309" s="397"/>
      <c r="BE309" s="397"/>
      <c r="BF309" s="397"/>
      <c r="BG309" s="397"/>
      <c r="BH309" s="397"/>
      <c r="BI309" s="397"/>
      <c r="BJ309" s="397"/>
      <c r="BK309" s="397"/>
      <c r="BL309" s="397"/>
      <c r="BM309" s="397"/>
      <c r="BN309" s="397"/>
    </row>
    <row r="310" spans="5:66" ht="14.25">
      <c r="E310" s="397"/>
      <c r="F310" s="397"/>
      <c r="G310" s="397"/>
      <c r="H310" s="397"/>
      <c r="I310" s="397"/>
      <c r="J310" s="397"/>
      <c r="K310" s="397"/>
      <c r="L310" s="397"/>
      <c r="M310" s="397"/>
      <c r="N310" s="397"/>
      <c r="O310" s="397"/>
      <c r="P310" s="397"/>
      <c r="Q310" s="397"/>
      <c r="R310" s="397"/>
      <c r="S310" s="397"/>
      <c r="T310" s="397"/>
      <c r="U310" s="397"/>
      <c r="V310" s="397"/>
      <c r="W310" s="397"/>
      <c r="X310" s="397"/>
      <c r="Y310" s="397"/>
      <c r="Z310" s="397"/>
      <c r="AA310" s="397"/>
      <c r="AB310" s="397"/>
      <c r="AC310" s="397"/>
      <c r="AD310" s="397"/>
      <c r="AE310" s="397"/>
      <c r="AF310" s="397"/>
      <c r="AG310" s="397"/>
      <c r="AH310" s="397"/>
      <c r="AI310" s="397"/>
      <c r="AJ310" s="397"/>
      <c r="AK310" s="397"/>
      <c r="AL310" s="397"/>
      <c r="AM310" s="397"/>
      <c r="AN310" s="397"/>
      <c r="AO310" s="397"/>
      <c r="AP310" s="397"/>
      <c r="AQ310" s="397"/>
      <c r="AR310" s="397"/>
      <c r="AS310" s="397"/>
      <c r="AT310" s="397"/>
      <c r="AU310" s="397"/>
      <c r="AV310" s="397"/>
      <c r="AW310" s="397"/>
      <c r="AX310" s="397"/>
      <c r="AY310" s="397"/>
      <c r="AZ310" s="397"/>
      <c r="BA310" s="397"/>
      <c r="BB310" s="397"/>
      <c r="BC310" s="397"/>
      <c r="BD310" s="397"/>
      <c r="BE310" s="397"/>
      <c r="BF310" s="397"/>
      <c r="BG310" s="397"/>
      <c r="BH310" s="397"/>
      <c r="BI310" s="397"/>
      <c r="BJ310" s="397"/>
      <c r="BK310" s="397"/>
      <c r="BL310" s="397"/>
      <c r="BM310" s="397"/>
      <c r="BN310" s="397"/>
    </row>
    <row r="311" spans="5:66" ht="14.25">
      <c r="E311" s="397"/>
      <c r="F311" s="397"/>
      <c r="G311" s="397"/>
      <c r="H311" s="397"/>
      <c r="I311" s="397"/>
      <c r="J311" s="397"/>
      <c r="K311" s="397"/>
      <c r="L311" s="397"/>
      <c r="M311" s="397"/>
      <c r="N311" s="397"/>
      <c r="O311" s="397"/>
      <c r="P311" s="397"/>
      <c r="Q311" s="397"/>
      <c r="R311" s="397"/>
      <c r="S311" s="397"/>
      <c r="T311" s="397"/>
      <c r="U311" s="397"/>
      <c r="V311" s="397"/>
      <c r="W311" s="397"/>
      <c r="X311" s="397"/>
      <c r="Y311" s="397"/>
      <c r="Z311" s="397"/>
      <c r="AA311" s="397"/>
      <c r="AB311" s="397"/>
      <c r="AC311" s="397"/>
      <c r="AD311" s="397"/>
      <c r="AE311" s="397"/>
      <c r="AF311" s="397"/>
      <c r="AG311" s="397"/>
      <c r="AH311" s="397"/>
      <c r="AI311" s="397"/>
      <c r="AJ311" s="397"/>
      <c r="AK311" s="397"/>
      <c r="AL311" s="397"/>
      <c r="AM311" s="397"/>
      <c r="AN311" s="397"/>
      <c r="AO311" s="397"/>
      <c r="AP311" s="397"/>
      <c r="AQ311" s="397"/>
      <c r="AR311" s="397"/>
      <c r="AS311" s="397"/>
      <c r="AT311" s="397"/>
      <c r="AU311" s="397"/>
      <c r="AV311" s="397"/>
      <c r="AW311" s="397"/>
      <c r="AX311" s="397"/>
      <c r="AY311" s="397"/>
      <c r="AZ311" s="397"/>
      <c r="BA311" s="397"/>
      <c r="BB311" s="397"/>
      <c r="BC311" s="397"/>
      <c r="BD311" s="397"/>
      <c r="BE311" s="397"/>
      <c r="BF311" s="397"/>
      <c r="BG311" s="397"/>
      <c r="BH311" s="397"/>
      <c r="BI311" s="397"/>
      <c r="BJ311" s="397"/>
      <c r="BK311" s="397"/>
      <c r="BL311" s="397"/>
      <c r="BM311" s="397"/>
      <c r="BN311" s="397"/>
    </row>
    <row r="312" spans="5:66" ht="14.25">
      <c r="E312" s="397"/>
      <c r="F312" s="397"/>
      <c r="G312" s="397"/>
      <c r="H312" s="397"/>
      <c r="I312" s="397"/>
      <c r="J312" s="397"/>
      <c r="K312" s="397"/>
      <c r="L312" s="397"/>
      <c r="M312" s="397"/>
      <c r="N312" s="397"/>
      <c r="O312" s="397"/>
      <c r="P312" s="397"/>
      <c r="Q312" s="397"/>
      <c r="R312" s="397"/>
      <c r="S312" s="397"/>
      <c r="T312" s="397"/>
      <c r="U312" s="397"/>
      <c r="V312" s="397"/>
      <c r="W312" s="397"/>
      <c r="X312" s="397"/>
      <c r="Y312" s="397"/>
      <c r="Z312" s="397"/>
      <c r="AA312" s="397"/>
      <c r="AB312" s="397"/>
      <c r="AC312" s="397"/>
      <c r="AD312" s="397"/>
      <c r="AE312" s="397"/>
      <c r="AF312" s="397"/>
      <c r="AG312" s="397"/>
      <c r="AH312" s="397"/>
      <c r="AI312" s="397"/>
      <c r="AJ312" s="397"/>
      <c r="AK312" s="397"/>
      <c r="AL312" s="397"/>
      <c r="AM312" s="397"/>
      <c r="AN312" s="397"/>
      <c r="AO312" s="397"/>
      <c r="AP312" s="397"/>
      <c r="AQ312" s="397"/>
      <c r="AR312" s="397"/>
      <c r="AS312" s="397"/>
      <c r="AT312" s="397"/>
      <c r="AU312" s="397"/>
      <c r="AV312" s="397"/>
      <c r="AW312" s="397"/>
      <c r="AX312" s="397"/>
      <c r="AY312" s="397"/>
      <c r="AZ312" s="397"/>
      <c r="BA312" s="397"/>
      <c r="BB312" s="397"/>
      <c r="BC312" s="397"/>
      <c r="BD312" s="397"/>
      <c r="BE312" s="397"/>
      <c r="BF312" s="397"/>
      <c r="BG312" s="397"/>
      <c r="BH312" s="397"/>
      <c r="BI312" s="397"/>
      <c r="BJ312" s="397"/>
      <c r="BK312" s="397"/>
      <c r="BL312" s="397"/>
      <c r="BM312" s="397"/>
      <c r="BN312" s="397"/>
    </row>
    <row r="313" spans="5:66" ht="14.25">
      <c r="E313" s="397"/>
      <c r="F313" s="397"/>
      <c r="G313" s="397"/>
      <c r="H313" s="397"/>
      <c r="I313" s="397"/>
      <c r="J313" s="397"/>
      <c r="K313" s="397"/>
      <c r="L313" s="397"/>
      <c r="M313" s="397"/>
      <c r="N313" s="397"/>
      <c r="O313" s="397"/>
      <c r="P313" s="397"/>
      <c r="Q313" s="397"/>
      <c r="R313" s="397"/>
      <c r="S313" s="397"/>
      <c r="T313" s="397"/>
      <c r="U313" s="397"/>
      <c r="V313" s="397"/>
      <c r="W313" s="397"/>
      <c r="X313" s="397"/>
      <c r="Y313" s="397"/>
      <c r="Z313" s="397"/>
      <c r="AA313" s="397"/>
      <c r="AB313" s="397"/>
      <c r="AC313" s="397"/>
      <c r="AD313" s="397"/>
      <c r="AE313" s="397"/>
      <c r="AF313" s="397"/>
      <c r="AG313" s="397"/>
      <c r="AH313" s="397"/>
      <c r="AI313" s="397"/>
      <c r="AJ313" s="397"/>
      <c r="AK313" s="397"/>
      <c r="AL313" s="397"/>
      <c r="AM313" s="397"/>
      <c r="AN313" s="397"/>
      <c r="AO313" s="397"/>
      <c r="AP313" s="397"/>
      <c r="AQ313" s="397"/>
      <c r="AR313" s="397"/>
      <c r="AS313" s="397"/>
      <c r="AT313" s="397"/>
      <c r="AU313" s="397"/>
      <c r="AV313" s="397"/>
      <c r="AW313" s="397"/>
      <c r="AX313" s="397"/>
      <c r="AY313" s="397"/>
      <c r="AZ313" s="397"/>
      <c r="BA313" s="397"/>
      <c r="BB313" s="397"/>
      <c r="BC313" s="397"/>
      <c r="BD313" s="397"/>
      <c r="BE313" s="397"/>
      <c r="BF313" s="397"/>
      <c r="BG313" s="397"/>
      <c r="BH313" s="397"/>
      <c r="BI313" s="397"/>
      <c r="BJ313" s="397"/>
      <c r="BK313" s="397"/>
      <c r="BL313" s="397"/>
      <c r="BM313" s="397"/>
      <c r="BN313" s="397"/>
    </row>
    <row r="314" spans="5:66" ht="14.25">
      <c r="E314" s="397"/>
      <c r="F314" s="397"/>
      <c r="G314" s="397"/>
      <c r="H314" s="397"/>
      <c r="I314" s="397"/>
      <c r="J314" s="397"/>
      <c r="K314" s="397"/>
      <c r="L314" s="397"/>
      <c r="M314" s="397"/>
      <c r="N314" s="397"/>
      <c r="O314" s="397"/>
      <c r="P314" s="397"/>
      <c r="Q314" s="397"/>
      <c r="R314" s="397"/>
      <c r="S314" s="397"/>
      <c r="T314" s="397"/>
      <c r="U314" s="397"/>
      <c r="V314" s="397"/>
      <c r="W314" s="397"/>
      <c r="X314" s="397"/>
      <c r="Y314" s="397"/>
      <c r="Z314" s="397"/>
      <c r="AA314" s="397"/>
      <c r="AB314" s="397"/>
      <c r="AC314" s="397"/>
      <c r="AD314" s="397"/>
      <c r="AE314" s="397"/>
      <c r="AF314" s="397"/>
      <c r="AG314" s="397"/>
      <c r="AH314" s="397"/>
      <c r="AI314" s="397"/>
      <c r="AJ314" s="397"/>
      <c r="AK314" s="397"/>
      <c r="AL314" s="397"/>
      <c r="AM314" s="397"/>
      <c r="AN314" s="397"/>
      <c r="AO314" s="397"/>
      <c r="AP314" s="397"/>
      <c r="AQ314" s="397"/>
      <c r="AR314" s="397"/>
      <c r="AS314" s="397"/>
      <c r="AT314" s="397"/>
      <c r="AU314" s="397"/>
      <c r="AV314" s="397"/>
      <c r="AW314" s="397"/>
      <c r="AX314" s="397"/>
      <c r="AY314" s="397"/>
      <c r="AZ314" s="397"/>
      <c r="BA314" s="397"/>
      <c r="BB314" s="397"/>
      <c r="BC314" s="397"/>
      <c r="BD314" s="397"/>
      <c r="BE314" s="397"/>
      <c r="BF314" s="397"/>
      <c r="BG314" s="397"/>
      <c r="BH314" s="397"/>
      <c r="BI314" s="397"/>
      <c r="BJ314" s="397"/>
      <c r="BK314" s="397"/>
      <c r="BL314" s="397"/>
      <c r="BM314" s="397"/>
      <c r="BN314" s="397"/>
    </row>
    <row r="315" spans="5:66" ht="14.25">
      <c r="E315" s="397"/>
      <c r="F315" s="397"/>
      <c r="G315" s="397"/>
      <c r="H315" s="397"/>
      <c r="I315" s="397"/>
      <c r="J315" s="397"/>
      <c r="K315" s="397"/>
      <c r="L315" s="397"/>
      <c r="M315" s="397"/>
      <c r="N315" s="397"/>
      <c r="O315" s="397"/>
      <c r="P315" s="397"/>
      <c r="Q315" s="397"/>
      <c r="R315" s="397"/>
      <c r="S315" s="397"/>
      <c r="T315" s="397"/>
      <c r="U315" s="397"/>
      <c r="V315" s="397"/>
      <c r="W315" s="397"/>
      <c r="X315" s="397"/>
      <c r="Y315" s="397"/>
      <c r="Z315" s="397"/>
      <c r="AA315" s="397"/>
      <c r="AB315" s="397"/>
      <c r="AC315" s="397"/>
      <c r="AD315" s="397"/>
      <c r="AE315" s="397"/>
      <c r="AF315" s="397"/>
      <c r="AG315" s="397"/>
      <c r="AH315" s="397"/>
      <c r="AI315" s="397"/>
      <c r="AJ315" s="397"/>
      <c r="AK315" s="397"/>
      <c r="AL315" s="397"/>
      <c r="AM315" s="397"/>
      <c r="AN315" s="397"/>
      <c r="AO315" s="397"/>
      <c r="AP315" s="397"/>
      <c r="AQ315" s="397"/>
      <c r="AR315" s="397"/>
      <c r="AS315" s="397"/>
      <c r="AT315" s="397"/>
      <c r="AU315" s="397"/>
      <c r="AV315" s="397"/>
      <c r="AW315" s="397"/>
      <c r="AX315" s="397"/>
      <c r="AY315" s="397"/>
      <c r="AZ315" s="397"/>
      <c r="BA315" s="397"/>
      <c r="BB315" s="397"/>
      <c r="BC315" s="397"/>
      <c r="BD315" s="397"/>
      <c r="BE315" s="397"/>
      <c r="BF315" s="397"/>
      <c r="BG315" s="397"/>
      <c r="BH315" s="397"/>
      <c r="BI315" s="397"/>
      <c r="BJ315" s="397"/>
      <c r="BK315" s="397"/>
      <c r="BL315" s="397"/>
      <c r="BM315" s="397"/>
      <c r="BN315" s="397"/>
    </row>
    <row r="316" spans="5:66" ht="14.25">
      <c r="E316" s="397"/>
      <c r="F316" s="397"/>
      <c r="G316" s="397"/>
      <c r="H316" s="397"/>
      <c r="I316" s="397"/>
      <c r="J316" s="397"/>
      <c r="K316" s="397"/>
      <c r="L316" s="397"/>
      <c r="M316" s="397"/>
      <c r="N316" s="397"/>
      <c r="O316" s="397"/>
      <c r="P316" s="397"/>
      <c r="Q316" s="397"/>
      <c r="R316" s="397"/>
      <c r="S316" s="397"/>
      <c r="T316" s="397"/>
      <c r="U316" s="397"/>
      <c r="V316" s="397"/>
      <c r="W316" s="397"/>
      <c r="X316" s="397"/>
      <c r="Y316" s="397"/>
      <c r="Z316" s="397"/>
      <c r="AA316" s="397"/>
      <c r="AB316" s="397"/>
      <c r="AC316" s="397"/>
      <c r="AD316" s="397"/>
      <c r="AE316" s="397"/>
      <c r="AF316" s="397"/>
      <c r="AG316" s="397"/>
      <c r="AH316" s="397"/>
      <c r="AI316" s="397"/>
      <c r="AJ316" s="397"/>
      <c r="AK316" s="397"/>
      <c r="AL316" s="397"/>
      <c r="AM316" s="397"/>
      <c r="AN316" s="397"/>
      <c r="AO316" s="397"/>
      <c r="AP316" s="397"/>
      <c r="AQ316" s="397"/>
      <c r="AR316" s="397"/>
      <c r="AS316" s="397"/>
      <c r="AT316" s="397"/>
      <c r="AU316" s="397"/>
      <c r="AV316" s="397"/>
      <c r="AW316" s="397"/>
      <c r="AX316" s="397"/>
      <c r="AY316" s="397"/>
      <c r="AZ316" s="397"/>
      <c r="BA316" s="397"/>
      <c r="BB316" s="397"/>
      <c r="BC316" s="397"/>
      <c r="BD316" s="397"/>
      <c r="BE316" s="397"/>
      <c r="BF316" s="397"/>
      <c r="BG316" s="397"/>
      <c r="BH316" s="397"/>
      <c r="BI316" s="397"/>
      <c r="BJ316" s="397"/>
      <c r="BK316" s="397"/>
      <c r="BL316" s="397"/>
      <c r="BM316" s="397"/>
      <c r="BN316" s="397"/>
    </row>
    <row r="317" spans="5:66" ht="14.25">
      <c r="E317" s="397"/>
      <c r="F317" s="397"/>
      <c r="G317" s="397"/>
      <c r="H317" s="397"/>
      <c r="I317" s="397"/>
      <c r="J317" s="397"/>
      <c r="K317" s="397"/>
      <c r="L317" s="397"/>
      <c r="M317" s="397"/>
      <c r="N317" s="397"/>
      <c r="O317" s="397"/>
      <c r="P317" s="397"/>
      <c r="Q317" s="397"/>
      <c r="R317" s="397"/>
      <c r="S317" s="397"/>
      <c r="T317" s="397"/>
      <c r="U317" s="397"/>
      <c r="V317" s="397"/>
      <c r="W317" s="397"/>
      <c r="X317" s="397"/>
      <c r="Y317" s="397"/>
      <c r="Z317" s="397"/>
      <c r="AA317" s="397"/>
      <c r="AB317" s="397"/>
      <c r="AC317" s="397"/>
      <c r="AD317" s="397"/>
      <c r="AE317" s="397"/>
      <c r="AF317" s="397"/>
      <c r="AG317" s="397"/>
      <c r="AH317" s="397"/>
      <c r="AI317" s="397"/>
      <c r="AJ317" s="397"/>
      <c r="AK317" s="397"/>
      <c r="AL317" s="397"/>
      <c r="AM317" s="397"/>
      <c r="AN317" s="397"/>
      <c r="AO317" s="397"/>
      <c r="AP317" s="397"/>
      <c r="AQ317" s="397"/>
      <c r="AR317" s="397"/>
      <c r="AS317" s="397"/>
      <c r="AT317" s="397"/>
      <c r="AU317" s="397"/>
      <c r="AV317" s="397"/>
      <c r="AW317" s="397"/>
      <c r="AX317" s="397"/>
      <c r="AY317" s="397"/>
      <c r="AZ317" s="397"/>
      <c r="BA317" s="397"/>
      <c r="BB317" s="397"/>
      <c r="BC317" s="397"/>
      <c r="BD317" s="397"/>
      <c r="BE317" s="397"/>
      <c r="BF317" s="397"/>
      <c r="BG317" s="397"/>
      <c r="BH317" s="397"/>
      <c r="BI317" s="397"/>
      <c r="BJ317" s="397"/>
      <c r="BK317" s="397"/>
      <c r="BL317" s="397"/>
      <c r="BM317" s="397"/>
      <c r="BN317" s="397"/>
    </row>
    <row r="318" spans="5:66" ht="14.25">
      <c r="E318" s="397"/>
      <c r="F318" s="397"/>
      <c r="G318" s="397"/>
      <c r="H318" s="397"/>
      <c r="I318" s="397"/>
      <c r="J318" s="397"/>
      <c r="K318" s="397"/>
      <c r="L318" s="397"/>
      <c r="M318" s="397"/>
      <c r="N318" s="397"/>
      <c r="O318" s="397"/>
      <c r="P318" s="397"/>
      <c r="Q318" s="397"/>
      <c r="R318" s="397"/>
      <c r="S318" s="397"/>
      <c r="T318" s="397"/>
      <c r="U318" s="397"/>
      <c r="V318" s="397"/>
      <c r="W318" s="397"/>
      <c r="X318" s="397"/>
      <c r="Y318" s="397"/>
      <c r="Z318" s="397"/>
      <c r="AA318" s="397"/>
      <c r="AB318" s="397"/>
      <c r="AC318" s="397"/>
      <c r="AD318" s="397"/>
      <c r="AE318" s="397"/>
      <c r="AF318" s="397"/>
      <c r="AG318" s="397"/>
      <c r="AH318" s="397"/>
      <c r="AI318" s="397"/>
      <c r="AJ318" s="397"/>
      <c r="AK318" s="397"/>
      <c r="AL318" s="397"/>
      <c r="AM318" s="397"/>
      <c r="AN318" s="397"/>
      <c r="AO318" s="397"/>
      <c r="AP318" s="397"/>
      <c r="AQ318" s="397"/>
      <c r="AR318" s="397"/>
      <c r="AS318" s="397"/>
      <c r="AT318" s="397"/>
      <c r="AU318" s="397"/>
      <c r="AV318" s="397"/>
      <c r="AW318" s="397"/>
      <c r="AX318" s="397"/>
      <c r="AY318" s="397"/>
      <c r="AZ318" s="397"/>
      <c r="BA318" s="397"/>
      <c r="BB318" s="397"/>
      <c r="BC318" s="397"/>
      <c r="BD318" s="397"/>
      <c r="BE318" s="397"/>
      <c r="BF318" s="397"/>
      <c r="BG318" s="397"/>
      <c r="BH318" s="397"/>
      <c r="BI318" s="397"/>
      <c r="BJ318" s="397"/>
      <c r="BK318" s="397"/>
      <c r="BL318" s="397"/>
      <c r="BM318" s="397"/>
      <c r="BN318" s="397"/>
    </row>
    <row r="319" spans="5:66" ht="14.25">
      <c r="E319" s="397"/>
      <c r="F319" s="397"/>
      <c r="G319" s="397"/>
      <c r="H319" s="397"/>
      <c r="I319" s="397"/>
      <c r="J319" s="397"/>
      <c r="K319" s="397"/>
      <c r="L319" s="397"/>
      <c r="M319" s="397"/>
      <c r="N319" s="397"/>
      <c r="O319" s="397"/>
      <c r="P319" s="397"/>
      <c r="Q319" s="397"/>
      <c r="R319" s="397"/>
      <c r="S319" s="397"/>
      <c r="T319" s="397"/>
      <c r="U319" s="397"/>
      <c r="V319" s="397"/>
      <c r="W319" s="397"/>
      <c r="X319" s="397"/>
      <c r="Y319" s="397"/>
      <c r="Z319" s="397"/>
      <c r="AA319" s="397"/>
      <c r="AB319" s="397"/>
      <c r="AC319" s="397"/>
      <c r="AD319" s="397"/>
      <c r="AE319" s="397"/>
      <c r="AF319" s="397"/>
      <c r="AG319" s="397"/>
      <c r="AH319" s="397"/>
      <c r="AI319" s="397"/>
      <c r="AJ319" s="397"/>
      <c r="AK319" s="397"/>
      <c r="AL319" s="397"/>
      <c r="AM319" s="397"/>
      <c r="AN319" s="397"/>
      <c r="AO319" s="397"/>
      <c r="AP319" s="397"/>
      <c r="AQ319" s="397"/>
      <c r="AR319" s="397"/>
      <c r="AS319" s="397"/>
      <c r="AT319" s="397"/>
      <c r="AU319" s="397"/>
      <c r="AV319" s="397"/>
      <c r="AW319" s="397"/>
      <c r="AX319" s="397"/>
      <c r="AY319" s="397"/>
      <c r="AZ319" s="397"/>
      <c r="BA319" s="397"/>
      <c r="BB319" s="397"/>
      <c r="BC319" s="397"/>
      <c r="BD319" s="397"/>
      <c r="BE319" s="397"/>
      <c r="BF319" s="397"/>
      <c r="BG319" s="397"/>
      <c r="BH319" s="397"/>
      <c r="BI319" s="397"/>
      <c r="BJ319" s="397"/>
      <c r="BK319" s="397"/>
      <c r="BL319" s="397"/>
      <c r="BM319" s="397"/>
      <c r="BN319" s="397"/>
    </row>
    <row r="320" spans="5:66" ht="14.25">
      <c r="E320" s="397"/>
      <c r="F320" s="397"/>
      <c r="G320" s="397"/>
      <c r="H320" s="397"/>
      <c r="I320" s="397"/>
      <c r="J320" s="397"/>
      <c r="K320" s="397"/>
      <c r="L320" s="397"/>
      <c r="M320" s="397"/>
      <c r="N320" s="397"/>
      <c r="O320" s="397"/>
      <c r="P320" s="397"/>
      <c r="Q320" s="397"/>
      <c r="R320" s="397"/>
      <c r="S320" s="397"/>
      <c r="T320" s="397"/>
      <c r="U320" s="397"/>
      <c r="V320" s="397"/>
      <c r="W320" s="397"/>
      <c r="X320" s="397"/>
      <c r="Y320" s="397"/>
      <c r="Z320" s="397"/>
      <c r="AA320" s="397"/>
      <c r="AB320" s="397"/>
      <c r="AC320" s="397"/>
      <c r="AD320" s="397"/>
      <c r="AE320" s="397"/>
      <c r="AF320" s="397"/>
      <c r="AG320" s="397"/>
      <c r="AH320" s="397"/>
      <c r="AI320" s="397"/>
      <c r="AJ320" s="397"/>
      <c r="AK320" s="397"/>
      <c r="AL320" s="397"/>
      <c r="AM320" s="397"/>
      <c r="AN320" s="397"/>
      <c r="AO320" s="397"/>
      <c r="AP320" s="397"/>
      <c r="AQ320" s="397"/>
      <c r="AR320" s="397"/>
      <c r="AS320" s="397"/>
      <c r="AT320" s="397"/>
      <c r="AU320" s="397"/>
      <c r="AV320" s="397"/>
      <c r="AW320" s="397"/>
      <c r="AX320" s="397"/>
      <c r="AY320" s="397"/>
      <c r="AZ320" s="397"/>
      <c r="BA320" s="397"/>
      <c r="BB320" s="397"/>
      <c r="BC320" s="397"/>
      <c r="BD320" s="397"/>
      <c r="BE320" s="397"/>
      <c r="BF320" s="397"/>
      <c r="BG320" s="397"/>
      <c r="BH320" s="397"/>
      <c r="BI320" s="397"/>
      <c r="BJ320" s="397"/>
      <c r="BK320" s="397"/>
      <c r="BL320" s="397"/>
      <c r="BM320" s="397"/>
      <c r="BN320" s="397"/>
    </row>
    <row r="321" spans="5:66" ht="14.25">
      <c r="E321" s="397"/>
      <c r="F321" s="397"/>
      <c r="G321" s="397"/>
      <c r="H321" s="397"/>
      <c r="I321" s="397"/>
      <c r="J321" s="397"/>
      <c r="K321" s="397"/>
      <c r="L321" s="397"/>
      <c r="M321" s="397"/>
      <c r="N321" s="397"/>
      <c r="O321" s="397"/>
      <c r="P321" s="397"/>
      <c r="Q321" s="397"/>
      <c r="R321" s="397"/>
      <c r="S321" s="397"/>
      <c r="T321" s="397"/>
      <c r="U321" s="397"/>
      <c r="V321" s="397"/>
      <c r="W321" s="397"/>
      <c r="X321" s="397"/>
      <c r="Y321" s="397"/>
      <c r="Z321" s="397"/>
      <c r="AA321" s="397"/>
      <c r="AB321" s="397"/>
      <c r="AC321" s="397"/>
      <c r="AD321" s="397"/>
      <c r="AE321" s="397"/>
      <c r="AF321" s="397"/>
      <c r="AG321" s="397"/>
      <c r="AH321" s="397"/>
      <c r="AI321" s="397"/>
      <c r="AJ321" s="397"/>
      <c r="AK321" s="397"/>
      <c r="AL321" s="397"/>
      <c r="AM321" s="397"/>
      <c r="AN321" s="397"/>
      <c r="AO321" s="397"/>
      <c r="AP321" s="397"/>
      <c r="AQ321" s="397"/>
      <c r="AR321" s="397"/>
      <c r="AS321" s="397"/>
      <c r="AT321" s="397"/>
      <c r="AU321" s="397"/>
      <c r="AV321" s="397"/>
      <c r="AW321" s="397"/>
      <c r="AX321" s="397"/>
      <c r="AY321" s="397"/>
      <c r="AZ321" s="397"/>
      <c r="BA321" s="397"/>
      <c r="BB321" s="397"/>
      <c r="BC321" s="397"/>
      <c r="BD321" s="397"/>
      <c r="BE321" s="397"/>
      <c r="BF321" s="397"/>
      <c r="BG321" s="397"/>
      <c r="BH321" s="397"/>
      <c r="BI321" s="397"/>
      <c r="BJ321" s="397"/>
      <c r="BK321" s="397"/>
      <c r="BL321" s="397"/>
      <c r="BM321" s="397"/>
      <c r="BN321" s="397"/>
    </row>
    <row r="322" spans="5:66" ht="14.25">
      <c r="E322" s="397"/>
      <c r="F322" s="397"/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7"/>
      <c r="T322" s="397"/>
      <c r="U322" s="397"/>
      <c r="V322" s="397"/>
      <c r="W322" s="397"/>
      <c r="X322" s="397"/>
      <c r="Y322" s="397"/>
      <c r="Z322" s="397"/>
      <c r="AA322" s="397"/>
      <c r="AB322" s="397"/>
      <c r="AC322" s="397"/>
      <c r="AD322" s="397"/>
      <c r="AE322" s="397"/>
      <c r="AF322" s="397"/>
      <c r="AG322" s="397"/>
      <c r="AH322" s="397"/>
      <c r="AI322" s="397"/>
      <c r="AJ322" s="397"/>
      <c r="AK322" s="397"/>
      <c r="AL322" s="397"/>
      <c r="AM322" s="397"/>
      <c r="AN322" s="397"/>
      <c r="AO322" s="397"/>
      <c r="AP322" s="397"/>
      <c r="AQ322" s="397"/>
      <c r="AR322" s="397"/>
      <c r="AS322" s="397"/>
      <c r="AT322" s="397"/>
      <c r="AU322" s="397"/>
      <c r="AV322" s="397"/>
      <c r="AW322" s="397"/>
      <c r="AX322" s="397"/>
      <c r="AY322" s="397"/>
      <c r="AZ322" s="397"/>
      <c r="BA322" s="397"/>
      <c r="BB322" s="397"/>
      <c r="BC322" s="397"/>
      <c r="BD322" s="397"/>
      <c r="BE322" s="397"/>
      <c r="BF322" s="397"/>
      <c r="BG322" s="397"/>
      <c r="BH322" s="397"/>
      <c r="BI322" s="397"/>
      <c r="BJ322" s="397"/>
      <c r="BK322" s="397"/>
      <c r="BL322" s="397"/>
      <c r="BM322" s="397"/>
      <c r="BN322" s="397"/>
    </row>
    <row r="323" spans="5:66" ht="14.25">
      <c r="E323" s="397"/>
      <c r="F323" s="397"/>
      <c r="G323" s="397"/>
      <c r="H323" s="397"/>
      <c r="I323" s="397"/>
      <c r="J323" s="397"/>
      <c r="K323" s="397"/>
      <c r="L323" s="397"/>
      <c r="M323" s="397"/>
      <c r="N323" s="397"/>
      <c r="O323" s="397"/>
      <c r="P323" s="397"/>
      <c r="Q323" s="397"/>
      <c r="R323" s="397"/>
      <c r="S323" s="397"/>
      <c r="T323" s="397"/>
      <c r="U323" s="397"/>
      <c r="V323" s="397"/>
      <c r="W323" s="397"/>
      <c r="X323" s="397"/>
      <c r="Y323" s="397"/>
      <c r="Z323" s="397"/>
      <c r="AA323" s="397"/>
      <c r="AB323" s="397"/>
      <c r="AC323" s="397"/>
      <c r="AD323" s="397"/>
      <c r="AE323" s="397"/>
      <c r="AF323" s="397"/>
      <c r="AG323" s="397"/>
      <c r="AH323" s="397"/>
      <c r="AI323" s="397"/>
      <c r="AJ323" s="397"/>
      <c r="AK323" s="397"/>
      <c r="AL323" s="397"/>
      <c r="AM323" s="397"/>
      <c r="AN323" s="397"/>
      <c r="AO323" s="397"/>
      <c r="AP323" s="397"/>
      <c r="AQ323" s="397"/>
      <c r="AR323" s="397"/>
      <c r="AS323" s="397"/>
      <c r="AT323" s="397"/>
      <c r="AU323" s="397"/>
      <c r="AV323" s="397"/>
      <c r="AW323" s="397"/>
      <c r="AX323" s="397"/>
      <c r="AY323" s="397"/>
      <c r="AZ323" s="397"/>
      <c r="BA323" s="397"/>
      <c r="BB323" s="397"/>
      <c r="BC323" s="397"/>
      <c r="BD323" s="397"/>
      <c r="BE323" s="397"/>
      <c r="BF323" s="397"/>
      <c r="BG323" s="397"/>
      <c r="BH323" s="397"/>
      <c r="BI323" s="397"/>
      <c r="BJ323" s="397"/>
      <c r="BK323" s="397"/>
      <c r="BL323" s="397"/>
      <c r="BM323" s="397"/>
      <c r="BN323" s="397"/>
    </row>
    <row r="324" spans="5:66" ht="14.25">
      <c r="E324" s="397"/>
      <c r="F324" s="397"/>
      <c r="G324" s="397"/>
      <c r="H324" s="397"/>
      <c r="I324" s="397"/>
      <c r="J324" s="397"/>
      <c r="K324" s="397"/>
      <c r="L324" s="397"/>
      <c r="M324" s="397"/>
      <c r="N324" s="397"/>
      <c r="O324" s="397"/>
      <c r="P324" s="397"/>
      <c r="Q324" s="397"/>
      <c r="R324" s="397"/>
      <c r="S324" s="397"/>
      <c r="T324" s="397"/>
      <c r="U324" s="397"/>
      <c r="V324" s="397"/>
      <c r="W324" s="397"/>
      <c r="X324" s="397"/>
      <c r="Y324" s="397"/>
      <c r="Z324" s="397"/>
      <c r="AA324" s="397"/>
      <c r="AB324" s="397"/>
      <c r="AC324" s="397"/>
      <c r="AD324" s="397"/>
      <c r="AE324" s="397"/>
      <c r="AF324" s="397"/>
      <c r="AG324" s="397"/>
      <c r="AH324" s="397"/>
      <c r="AI324" s="397"/>
      <c r="AJ324" s="397"/>
      <c r="AK324" s="397"/>
      <c r="AL324" s="397"/>
      <c r="AM324" s="397"/>
      <c r="AN324" s="397"/>
      <c r="AO324" s="397"/>
      <c r="AP324" s="397"/>
      <c r="AQ324" s="397"/>
      <c r="AR324" s="397"/>
      <c r="AS324" s="397"/>
      <c r="AT324" s="397"/>
      <c r="AU324" s="397"/>
      <c r="AV324" s="397"/>
      <c r="AW324" s="397"/>
      <c r="AX324" s="397"/>
      <c r="AY324" s="397"/>
      <c r="AZ324" s="397"/>
      <c r="BA324" s="397"/>
      <c r="BB324" s="397"/>
      <c r="BC324" s="397"/>
      <c r="BD324" s="397"/>
      <c r="BE324" s="397"/>
      <c r="BF324" s="397"/>
      <c r="BG324" s="397"/>
      <c r="BH324" s="397"/>
      <c r="BI324" s="397"/>
      <c r="BJ324" s="397"/>
      <c r="BK324" s="397"/>
      <c r="BL324" s="397"/>
      <c r="BM324" s="397"/>
      <c r="BN324" s="397"/>
    </row>
    <row r="325" spans="5:66" ht="14.25">
      <c r="E325" s="397"/>
      <c r="F325" s="397"/>
      <c r="G325" s="397"/>
      <c r="H325" s="397"/>
      <c r="I325" s="397"/>
      <c r="J325" s="397"/>
      <c r="K325" s="397"/>
      <c r="L325" s="397"/>
      <c r="M325" s="397"/>
      <c r="N325" s="397"/>
      <c r="O325" s="397"/>
      <c r="P325" s="397"/>
      <c r="Q325" s="397"/>
      <c r="R325" s="397"/>
      <c r="S325" s="397"/>
      <c r="T325" s="397"/>
      <c r="U325" s="397"/>
      <c r="V325" s="397"/>
      <c r="W325" s="397"/>
      <c r="X325" s="397"/>
      <c r="Y325" s="397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/>
      <c r="AJ325" s="397"/>
      <c r="AK325" s="397"/>
      <c r="AL325" s="397"/>
      <c r="AM325" s="397"/>
      <c r="AN325" s="397"/>
      <c r="AO325" s="397"/>
      <c r="AP325" s="397"/>
      <c r="AQ325" s="397"/>
      <c r="AR325" s="397"/>
      <c r="AS325" s="397"/>
      <c r="AT325" s="397"/>
      <c r="AU325" s="397"/>
      <c r="AV325" s="397"/>
      <c r="AW325" s="397"/>
      <c r="AX325" s="397"/>
      <c r="AY325" s="397"/>
      <c r="AZ325" s="397"/>
      <c r="BA325" s="397"/>
      <c r="BB325" s="397"/>
      <c r="BC325" s="397"/>
      <c r="BD325" s="397"/>
      <c r="BE325" s="397"/>
      <c r="BF325" s="397"/>
      <c r="BG325" s="397"/>
      <c r="BH325" s="397"/>
      <c r="BI325" s="397"/>
      <c r="BJ325" s="397"/>
      <c r="BK325" s="397"/>
      <c r="BL325" s="397"/>
      <c r="BM325" s="397"/>
      <c r="BN325" s="397"/>
    </row>
    <row r="326" spans="5:66" ht="14.25">
      <c r="E326" s="397"/>
      <c r="F326" s="397"/>
      <c r="G326" s="397"/>
      <c r="H326" s="397"/>
      <c r="I326" s="397"/>
      <c r="J326" s="397"/>
      <c r="K326" s="397"/>
      <c r="L326" s="397"/>
      <c r="M326" s="397"/>
      <c r="N326" s="397"/>
      <c r="O326" s="397"/>
      <c r="P326" s="397"/>
      <c r="Q326" s="397"/>
      <c r="R326" s="397"/>
      <c r="S326" s="397"/>
      <c r="T326" s="397"/>
      <c r="U326" s="397"/>
      <c r="V326" s="397"/>
      <c r="W326" s="397"/>
      <c r="X326" s="397"/>
      <c r="Y326" s="397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/>
      <c r="AJ326" s="397"/>
      <c r="AK326" s="397"/>
      <c r="AL326" s="397"/>
      <c r="AM326" s="397"/>
      <c r="AN326" s="397"/>
      <c r="AO326" s="397"/>
      <c r="AP326" s="397"/>
      <c r="AQ326" s="397"/>
      <c r="AR326" s="397"/>
      <c r="AS326" s="397"/>
      <c r="AT326" s="397"/>
      <c r="AU326" s="397"/>
      <c r="AV326" s="397"/>
      <c r="AW326" s="397"/>
      <c r="AX326" s="397"/>
      <c r="AY326" s="397"/>
      <c r="AZ326" s="397"/>
      <c r="BA326" s="397"/>
      <c r="BB326" s="397"/>
      <c r="BC326" s="397"/>
      <c r="BD326" s="397"/>
      <c r="BE326" s="397"/>
      <c r="BF326" s="397"/>
      <c r="BG326" s="397"/>
      <c r="BH326" s="397"/>
      <c r="BI326" s="397"/>
      <c r="BJ326" s="397"/>
      <c r="BK326" s="397"/>
      <c r="BL326" s="397"/>
      <c r="BM326" s="397"/>
      <c r="BN326" s="397"/>
    </row>
    <row r="327" spans="5:66" ht="14.25">
      <c r="E327" s="397"/>
      <c r="F327" s="397"/>
      <c r="G327" s="397"/>
      <c r="H327" s="397"/>
      <c r="I327" s="397"/>
      <c r="J327" s="397"/>
      <c r="K327" s="397"/>
      <c r="L327" s="397"/>
      <c r="M327" s="397"/>
      <c r="N327" s="397"/>
      <c r="O327" s="397"/>
      <c r="P327" s="397"/>
      <c r="Q327" s="397"/>
      <c r="R327" s="397"/>
      <c r="S327" s="397"/>
      <c r="T327" s="397"/>
      <c r="U327" s="397"/>
      <c r="V327" s="397"/>
      <c r="W327" s="397"/>
      <c r="X327" s="397"/>
      <c r="Y327" s="397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/>
      <c r="AJ327" s="397"/>
      <c r="AK327" s="397"/>
      <c r="AL327" s="397"/>
      <c r="AM327" s="397"/>
      <c r="AN327" s="397"/>
      <c r="AO327" s="397"/>
      <c r="AP327" s="397"/>
      <c r="AQ327" s="397"/>
      <c r="AR327" s="397"/>
      <c r="AS327" s="397"/>
      <c r="AT327" s="397"/>
      <c r="AU327" s="397"/>
      <c r="AV327" s="397"/>
      <c r="AW327" s="397"/>
      <c r="AX327" s="397"/>
      <c r="AY327" s="397"/>
      <c r="AZ327" s="397"/>
      <c r="BA327" s="397"/>
      <c r="BB327" s="397"/>
      <c r="BC327" s="397"/>
      <c r="BD327" s="397"/>
      <c r="BE327" s="397"/>
      <c r="BF327" s="397"/>
      <c r="BG327" s="397"/>
      <c r="BH327" s="397"/>
      <c r="BI327" s="397"/>
      <c r="BJ327" s="397"/>
      <c r="BK327" s="397"/>
      <c r="BL327" s="397"/>
      <c r="BM327" s="397"/>
      <c r="BN327" s="397"/>
    </row>
    <row r="328" spans="5:66" ht="14.25">
      <c r="E328" s="397"/>
      <c r="F328" s="397"/>
      <c r="G328" s="397"/>
      <c r="H328" s="397"/>
      <c r="I328" s="397"/>
      <c r="J328" s="397"/>
      <c r="K328" s="397"/>
      <c r="L328" s="397"/>
      <c r="M328" s="397"/>
      <c r="N328" s="397"/>
      <c r="O328" s="397"/>
      <c r="P328" s="397"/>
      <c r="Q328" s="397"/>
      <c r="R328" s="397"/>
      <c r="S328" s="397"/>
      <c r="T328" s="397"/>
      <c r="U328" s="397"/>
      <c r="V328" s="397"/>
      <c r="W328" s="397"/>
      <c r="X328" s="397"/>
      <c r="Y328" s="397"/>
      <c r="Z328" s="397"/>
      <c r="AA328" s="397"/>
      <c r="AB328" s="397"/>
      <c r="AC328" s="397"/>
      <c r="AD328" s="397"/>
      <c r="AE328" s="397"/>
      <c r="AF328" s="397"/>
      <c r="AG328" s="397"/>
      <c r="AH328" s="397"/>
      <c r="AI328" s="397"/>
      <c r="AJ328" s="397"/>
      <c r="AK328" s="397"/>
      <c r="AL328" s="397"/>
      <c r="AM328" s="397"/>
      <c r="AN328" s="397"/>
      <c r="AO328" s="397"/>
      <c r="AP328" s="397"/>
      <c r="AQ328" s="397"/>
      <c r="AR328" s="397"/>
      <c r="AS328" s="397"/>
      <c r="AT328" s="397"/>
      <c r="AU328" s="397"/>
      <c r="AV328" s="397"/>
      <c r="AW328" s="397"/>
      <c r="AX328" s="397"/>
      <c r="AY328" s="397"/>
      <c r="AZ328" s="397"/>
      <c r="BA328" s="397"/>
      <c r="BB328" s="397"/>
      <c r="BC328" s="397"/>
      <c r="BD328" s="397"/>
      <c r="BE328" s="397"/>
      <c r="BF328" s="397"/>
      <c r="BG328" s="397"/>
      <c r="BH328" s="397"/>
      <c r="BI328" s="397"/>
      <c r="BJ328" s="397"/>
      <c r="BK328" s="397"/>
      <c r="BL328" s="397"/>
      <c r="BM328" s="397"/>
      <c r="BN328" s="397"/>
    </row>
    <row r="329" spans="5:66" ht="14.25">
      <c r="E329" s="397"/>
      <c r="F329" s="397"/>
      <c r="G329" s="397"/>
      <c r="H329" s="397"/>
      <c r="I329" s="397"/>
      <c r="J329" s="397"/>
      <c r="K329" s="397"/>
      <c r="L329" s="397"/>
      <c r="M329" s="397"/>
      <c r="N329" s="397"/>
      <c r="O329" s="397"/>
      <c r="P329" s="397"/>
      <c r="Q329" s="397"/>
      <c r="R329" s="397"/>
      <c r="S329" s="397"/>
      <c r="T329" s="397"/>
      <c r="U329" s="397"/>
      <c r="V329" s="397"/>
      <c r="W329" s="397"/>
      <c r="X329" s="397"/>
      <c r="Y329" s="397"/>
      <c r="Z329" s="397"/>
      <c r="AA329" s="397"/>
      <c r="AB329" s="397"/>
      <c r="AC329" s="397"/>
      <c r="AD329" s="397"/>
      <c r="AE329" s="397"/>
      <c r="AF329" s="397"/>
      <c r="AG329" s="397"/>
      <c r="AH329" s="397"/>
      <c r="AI329" s="397"/>
      <c r="AJ329" s="397"/>
      <c r="AK329" s="397"/>
      <c r="AL329" s="397"/>
      <c r="AM329" s="397"/>
      <c r="AN329" s="397"/>
      <c r="AO329" s="397"/>
      <c r="AP329" s="397"/>
      <c r="AQ329" s="397"/>
      <c r="AR329" s="397"/>
      <c r="AS329" s="397"/>
      <c r="AT329" s="397"/>
      <c r="AU329" s="397"/>
      <c r="AV329" s="397"/>
      <c r="AW329" s="397"/>
      <c r="AX329" s="397"/>
      <c r="AY329" s="397"/>
      <c r="AZ329" s="397"/>
      <c r="BA329" s="397"/>
      <c r="BB329" s="397"/>
      <c r="BC329" s="397"/>
      <c r="BD329" s="397"/>
      <c r="BE329" s="397"/>
      <c r="BF329" s="397"/>
      <c r="BG329" s="397"/>
      <c r="BH329" s="397"/>
      <c r="BI329" s="397"/>
      <c r="BJ329" s="397"/>
      <c r="BK329" s="397"/>
      <c r="BL329" s="397"/>
      <c r="BM329" s="397"/>
      <c r="BN329" s="397"/>
    </row>
    <row r="330" spans="5:66" ht="14.25">
      <c r="E330" s="397"/>
      <c r="F330" s="397"/>
      <c r="G330" s="397"/>
      <c r="H330" s="397"/>
      <c r="I330" s="397"/>
      <c r="J330" s="397"/>
      <c r="K330" s="397"/>
      <c r="L330" s="397"/>
      <c r="M330" s="397"/>
      <c r="N330" s="397"/>
      <c r="O330" s="397"/>
      <c r="P330" s="397"/>
      <c r="Q330" s="397"/>
      <c r="R330" s="397"/>
      <c r="S330" s="397"/>
      <c r="T330" s="397"/>
      <c r="U330" s="397"/>
      <c r="V330" s="397"/>
      <c r="W330" s="397"/>
      <c r="X330" s="397"/>
      <c r="Y330" s="397"/>
      <c r="Z330" s="397"/>
      <c r="AA330" s="397"/>
      <c r="AB330" s="397"/>
      <c r="AC330" s="397"/>
      <c r="AD330" s="397"/>
      <c r="AE330" s="397"/>
      <c r="AF330" s="397"/>
      <c r="AG330" s="397"/>
      <c r="AH330" s="397"/>
      <c r="AI330" s="397"/>
      <c r="AJ330" s="397"/>
      <c r="AK330" s="397"/>
      <c r="AL330" s="397"/>
      <c r="AM330" s="397"/>
      <c r="AN330" s="397"/>
      <c r="AO330" s="397"/>
      <c r="AP330" s="397"/>
      <c r="AQ330" s="397"/>
      <c r="AR330" s="397"/>
      <c r="AS330" s="397"/>
      <c r="AT330" s="397"/>
      <c r="AU330" s="397"/>
      <c r="AV330" s="397"/>
      <c r="AW330" s="397"/>
      <c r="AX330" s="397"/>
      <c r="AY330" s="397"/>
      <c r="AZ330" s="397"/>
      <c r="BA330" s="397"/>
      <c r="BB330" s="397"/>
      <c r="BC330" s="397"/>
      <c r="BD330" s="397"/>
      <c r="BE330" s="397"/>
      <c r="BF330" s="397"/>
      <c r="BG330" s="397"/>
      <c r="BH330" s="397"/>
      <c r="BI330" s="397"/>
      <c r="BJ330" s="397"/>
      <c r="BK330" s="397"/>
      <c r="BL330" s="397"/>
      <c r="BM330" s="397"/>
      <c r="BN330" s="397"/>
    </row>
    <row r="331" spans="5:66" ht="14.25">
      <c r="E331" s="397"/>
      <c r="F331" s="397"/>
      <c r="G331" s="397"/>
      <c r="H331" s="397"/>
      <c r="I331" s="397"/>
      <c r="J331" s="397"/>
      <c r="K331" s="397"/>
      <c r="L331" s="397"/>
      <c r="M331" s="397"/>
      <c r="N331" s="397"/>
      <c r="O331" s="397"/>
      <c r="P331" s="397"/>
      <c r="Q331" s="397"/>
      <c r="R331" s="397"/>
      <c r="S331" s="397"/>
      <c r="T331" s="397"/>
      <c r="U331" s="397"/>
      <c r="V331" s="397"/>
      <c r="W331" s="397"/>
      <c r="X331" s="397"/>
      <c r="Y331" s="397"/>
      <c r="Z331" s="397"/>
      <c r="AA331" s="397"/>
      <c r="AB331" s="397"/>
      <c r="AC331" s="397"/>
      <c r="AD331" s="397"/>
      <c r="AE331" s="397"/>
      <c r="AF331" s="397"/>
      <c r="AG331" s="397"/>
      <c r="AH331" s="397"/>
      <c r="AI331" s="397"/>
      <c r="AJ331" s="397"/>
      <c r="AK331" s="397"/>
      <c r="AL331" s="397"/>
      <c r="AM331" s="397"/>
      <c r="AN331" s="397"/>
      <c r="AO331" s="397"/>
      <c r="AP331" s="397"/>
      <c r="AQ331" s="397"/>
      <c r="AR331" s="397"/>
      <c r="AS331" s="397"/>
      <c r="AT331" s="397"/>
      <c r="AU331" s="397"/>
      <c r="AV331" s="397"/>
      <c r="AW331" s="397"/>
      <c r="AX331" s="397"/>
      <c r="AY331" s="397"/>
      <c r="AZ331" s="397"/>
      <c r="BA331" s="397"/>
      <c r="BB331" s="397"/>
      <c r="BC331" s="397"/>
      <c r="BD331" s="397"/>
      <c r="BE331" s="397"/>
      <c r="BF331" s="397"/>
      <c r="BG331" s="397"/>
      <c r="BH331" s="397"/>
      <c r="BI331" s="397"/>
      <c r="BJ331" s="397"/>
      <c r="BK331" s="397"/>
      <c r="BL331" s="397"/>
      <c r="BM331" s="397"/>
      <c r="BN331" s="397"/>
    </row>
    <row r="332" spans="5:66" ht="14.25">
      <c r="E332" s="397"/>
      <c r="F332" s="397"/>
      <c r="G332" s="397"/>
      <c r="H332" s="397"/>
      <c r="I332" s="397"/>
      <c r="J332" s="397"/>
      <c r="K332" s="397"/>
      <c r="L332" s="397"/>
      <c r="M332" s="397"/>
      <c r="N332" s="397"/>
      <c r="O332" s="397"/>
      <c r="P332" s="397"/>
      <c r="Q332" s="397"/>
      <c r="R332" s="397"/>
      <c r="S332" s="397"/>
      <c r="T332" s="397"/>
      <c r="U332" s="397"/>
      <c r="V332" s="397"/>
      <c r="W332" s="397"/>
      <c r="X332" s="397"/>
      <c r="Y332" s="397"/>
      <c r="Z332" s="397"/>
      <c r="AA332" s="397"/>
      <c r="AB332" s="397"/>
      <c r="AC332" s="397"/>
      <c r="AD332" s="397"/>
      <c r="AE332" s="397"/>
      <c r="AF332" s="397"/>
      <c r="AG332" s="397"/>
      <c r="AH332" s="397"/>
      <c r="AI332" s="397"/>
      <c r="AJ332" s="397"/>
      <c r="AK332" s="397"/>
      <c r="AL332" s="397"/>
      <c r="AM332" s="397"/>
      <c r="AN332" s="397"/>
      <c r="AO332" s="397"/>
      <c r="AP332" s="397"/>
      <c r="AQ332" s="397"/>
      <c r="AR332" s="397"/>
      <c r="AS332" s="397"/>
      <c r="AT332" s="397"/>
      <c r="AU332" s="397"/>
      <c r="AV332" s="397"/>
      <c r="AW332" s="397"/>
      <c r="AX332" s="397"/>
      <c r="AY332" s="397"/>
      <c r="AZ332" s="397"/>
      <c r="BA332" s="397"/>
      <c r="BB332" s="397"/>
      <c r="BC332" s="397"/>
      <c r="BD332" s="397"/>
      <c r="BE332" s="397"/>
      <c r="BF332" s="397"/>
      <c r="BG332" s="397"/>
      <c r="BH332" s="397"/>
      <c r="BI332" s="397"/>
      <c r="BJ332" s="397"/>
      <c r="BK332" s="397"/>
      <c r="BL332" s="397"/>
      <c r="BM332" s="397"/>
      <c r="BN332" s="397"/>
    </row>
    <row r="333" spans="5:66" ht="14.25">
      <c r="E333" s="397"/>
      <c r="F333" s="397"/>
      <c r="G333" s="397"/>
      <c r="H333" s="397"/>
      <c r="I333" s="397"/>
      <c r="J333" s="397"/>
      <c r="K333" s="397"/>
      <c r="L333" s="397"/>
      <c r="M333" s="397"/>
      <c r="N333" s="397"/>
      <c r="O333" s="397"/>
      <c r="P333" s="397"/>
      <c r="Q333" s="397"/>
      <c r="R333" s="397"/>
      <c r="S333" s="397"/>
      <c r="T333" s="397"/>
      <c r="U333" s="397"/>
      <c r="V333" s="397"/>
      <c r="W333" s="397"/>
      <c r="X333" s="397"/>
      <c r="Y333" s="397"/>
      <c r="Z333" s="397"/>
      <c r="AA333" s="397"/>
      <c r="AB333" s="397"/>
      <c r="AC333" s="397"/>
      <c r="AD333" s="397"/>
      <c r="AE333" s="397"/>
      <c r="AF333" s="397"/>
      <c r="AG333" s="397"/>
      <c r="AH333" s="397"/>
      <c r="AI333" s="397"/>
      <c r="AJ333" s="397"/>
      <c r="AK333" s="397"/>
      <c r="AL333" s="397"/>
      <c r="AM333" s="397"/>
      <c r="AN333" s="397"/>
      <c r="AO333" s="397"/>
      <c r="AP333" s="397"/>
      <c r="AQ333" s="397"/>
      <c r="AR333" s="397"/>
      <c r="AS333" s="397"/>
      <c r="AT333" s="397"/>
      <c r="AU333" s="397"/>
      <c r="AV333" s="397"/>
      <c r="AW333" s="397"/>
      <c r="AX333" s="397"/>
      <c r="AY333" s="397"/>
      <c r="AZ333" s="397"/>
      <c r="BA333" s="397"/>
      <c r="BB333" s="397"/>
      <c r="BC333" s="397"/>
      <c r="BD333" s="397"/>
      <c r="BE333" s="397"/>
      <c r="BF333" s="397"/>
      <c r="BG333" s="397"/>
      <c r="BH333" s="397"/>
      <c r="BI333" s="397"/>
      <c r="BJ333" s="397"/>
      <c r="BK333" s="397"/>
      <c r="BL333" s="397"/>
      <c r="BM333" s="397"/>
      <c r="BN333" s="397"/>
    </row>
    <row r="334" spans="5:66" ht="14.25">
      <c r="E334" s="397"/>
      <c r="F334" s="397"/>
      <c r="G334" s="397"/>
      <c r="H334" s="397"/>
      <c r="I334" s="397"/>
      <c r="J334" s="397"/>
      <c r="K334" s="397"/>
      <c r="L334" s="397"/>
      <c r="M334" s="397"/>
      <c r="N334" s="397"/>
      <c r="O334" s="397"/>
      <c r="P334" s="397"/>
      <c r="Q334" s="397"/>
      <c r="R334" s="397"/>
      <c r="S334" s="397"/>
      <c r="T334" s="397"/>
      <c r="U334" s="397"/>
      <c r="V334" s="397"/>
      <c r="W334" s="397"/>
      <c r="X334" s="397"/>
      <c r="Y334" s="397"/>
      <c r="Z334" s="397"/>
      <c r="AA334" s="397"/>
      <c r="AB334" s="397"/>
      <c r="AC334" s="397"/>
      <c r="AD334" s="397"/>
      <c r="AE334" s="397"/>
      <c r="AF334" s="397"/>
      <c r="AG334" s="397"/>
      <c r="AH334" s="397"/>
      <c r="AI334" s="397"/>
      <c r="AJ334" s="397"/>
      <c r="AK334" s="397"/>
      <c r="AL334" s="397"/>
      <c r="AM334" s="397"/>
      <c r="AN334" s="397"/>
      <c r="AO334" s="397"/>
      <c r="AP334" s="397"/>
      <c r="AQ334" s="397"/>
      <c r="AR334" s="397"/>
      <c r="AS334" s="397"/>
      <c r="AT334" s="397"/>
      <c r="AU334" s="397"/>
      <c r="AV334" s="397"/>
      <c r="AW334" s="397"/>
      <c r="AX334" s="397"/>
      <c r="AY334" s="397"/>
      <c r="AZ334" s="397"/>
      <c r="BA334" s="397"/>
      <c r="BB334" s="397"/>
      <c r="BC334" s="397"/>
      <c r="BD334" s="397"/>
      <c r="BE334" s="397"/>
      <c r="BF334" s="397"/>
      <c r="BG334" s="397"/>
      <c r="BH334" s="397"/>
      <c r="BI334" s="397"/>
      <c r="BJ334" s="397"/>
      <c r="BK334" s="397"/>
      <c r="BL334" s="397"/>
      <c r="BM334" s="397"/>
      <c r="BN334" s="397"/>
    </row>
    <row r="335" spans="5:66" ht="14.25">
      <c r="E335" s="397"/>
      <c r="F335" s="397"/>
      <c r="G335" s="397"/>
      <c r="H335" s="397"/>
      <c r="I335" s="397"/>
      <c r="J335" s="397"/>
      <c r="K335" s="397"/>
      <c r="L335" s="397"/>
      <c r="M335" s="397"/>
      <c r="N335" s="397"/>
      <c r="O335" s="397"/>
      <c r="P335" s="397"/>
      <c r="Q335" s="397"/>
      <c r="R335" s="397"/>
      <c r="S335" s="397"/>
      <c r="T335" s="397"/>
      <c r="U335" s="397"/>
      <c r="V335" s="397"/>
      <c r="W335" s="397"/>
      <c r="X335" s="397"/>
      <c r="Y335" s="397"/>
      <c r="Z335" s="397"/>
      <c r="AA335" s="397"/>
      <c r="AB335" s="397"/>
      <c r="AC335" s="397"/>
      <c r="AD335" s="397"/>
      <c r="AE335" s="397"/>
      <c r="AF335" s="397"/>
      <c r="AG335" s="397"/>
      <c r="AH335" s="397"/>
      <c r="AI335" s="397"/>
      <c r="AJ335" s="397"/>
      <c r="AK335" s="397"/>
      <c r="AL335" s="397"/>
      <c r="AM335" s="397"/>
      <c r="AN335" s="397"/>
      <c r="AO335" s="397"/>
      <c r="AP335" s="397"/>
      <c r="AQ335" s="397"/>
      <c r="AR335" s="397"/>
      <c r="AS335" s="397"/>
      <c r="AT335" s="397"/>
      <c r="AU335" s="397"/>
      <c r="AV335" s="397"/>
      <c r="AW335" s="397"/>
      <c r="AX335" s="397"/>
      <c r="AY335" s="397"/>
      <c r="AZ335" s="397"/>
      <c r="BA335" s="397"/>
      <c r="BB335" s="397"/>
      <c r="BC335" s="397"/>
      <c r="BD335" s="397"/>
      <c r="BE335" s="397"/>
      <c r="BF335" s="397"/>
      <c r="BG335" s="397"/>
      <c r="BH335" s="397"/>
      <c r="BI335" s="397"/>
      <c r="BJ335" s="397"/>
      <c r="BK335" s="397"/>
      <c r="BL335" s="397"/>
      <c r="BM335" s="397"/>
      <c r="BN335" s="397"/>
    </row>
    <row r="336" spans="5:66" ht="14.25">
      <c r="E336" s="397"/>
      <c r="F336" s="397"/>
      <c r="G336" s="397"/>
      <c r="H336" s="397"/>
      <c r="I336" s="397"/>
      <c r="J336" s="397"/>
      <c r="K336" s="397"/>
      <c r="L336" s="397"/>
      <c r="M336" s="397"/>
      <c r="N336" s="397"/>
      <c r="O336" s="397"/>
      <c r="P336" s="397"/>
      <c r="Q336" s="397"/>
      <c r="R336" s="397"/>
      <c r="S336" s="397"/>
      <c r="T336" s="397"/>
      <c r="U336" s="397"/>
      <c r="V336" s="397"/>
      <c r="W336" s="397"/>
      <c r="X336" s="397"/>
      <c r="Y336" s="397"/>
      <c r="Z336" s="397"/>
      <c r="AA336" s="397"/>
      <c r="AB336" s="397"/>
      <c r="AC336" s="397"/>
      <c r="AD336" s="397"/>
      <c r="AE336" s="397"/>
      <c r="AF336" s="397"/>
      <c r="AG336" s="397"/>
      <c r="AH336" s="397"/>
      <c r="AI336" s="397"/>
      <c r="AJ336" s="397"/>
      <c r="AK336" s="397"/>
      <c r="AL336" s="397"/>
      <c r="AM336" s="397"/>
      <c r="AN336" s="397"/>
      <c r="AO336" s="397"/>
      <c r="AP336" s="397"/>
      <c r="AQ336" s="397"/>
      <c r="AR336" s="397"/>
      <c r="AS336" s="397"/>
      <c r="AT336" s="397"/>
      <c r="AU336" s="397"/>
      <c r="AV336" s="397"/>
      <c r="AW336" s="397"/>
      <c r="AX336" s="397"/>
      <c r="AY336" s="397"/>
      <c r="AZ336" s="397"/>
      <c r="BA336" s="397"/>
      <c r="BB336" s="397"/>
      <c r="BC336" s="397"/>
      <c r="BD336" s="397"/>
      <c r="BE336" s="397"/>
      <c r="BF336" s="397"/>
      <c r="BG336" s="397"/>
      <c r="BH336" s="397"/>
      <c r="BI336" s="397"/>
      <c r="BJ336" s="397"/>
      <c r="BK336" s="397"/>
      <c r="BL336" s="397"/>
      <c r="BM336" s="397"/>
      <c r="BN336" s="397"/>
    </row>
    <row r="337" spans="5:66" ht="14.25">
      <c r="E337" s="397"/>
      <c r="F337" s="397"/>
      <c r="G337" s="397"/>
      <c r="H337" s="397"/>
      <c r="I337" s="397"/>
      <c r="J337" s="397"/>
      <c r="K337" s="397"/>
      <c r="L337" s="397"/>
      <c r="M337" s="397"/>
      <c r="N337" s="397"/>
      <c r="O337" s="397"/>
      <c r="P337" s="397"/>
      <c r="Q337" s="397"/>
      <c r="R337" s="397"/>
      <c r="S337" s="397"/>
      <c r="T337" s="397"/>
      <c r="U337" s="397"/>
      <c r="V337" s="397"/>
      <c r="W337" s="397"/>
      <c r="X337" s="397"/>
      <c r="Y337" s="397"/>
      <c r="Z337" s="397"/>
      <c r="AA337" s="397"/>
      <c r="AB337" s="397"/>
      <c r="AC337" s="397"/>
      <c r="AD337" s="397"/>
      <c r="AE337" s="397"/>
      <c r="AF337" s="397"/>
      <c r="AG337" s="397"/>
      <c r="AH337" s="397"/>
      <c r="AI337" s="397"/>
      <c r="AJ337" s="397"/>
      <c r="AK337" s="397"/>
      <c r="AL337" s="397"/>
      <c r="AM337" s="397"/>
      <c r="AN337" s="397"/>
      <c r="AO337" s="397"/>
      <c r="AP337" s="397"/>
      <c r="AQ337" s="397"/>
      <c r="AR337" s="397"/>
      <c r="AS337" s="397"/>
      <c r="AT337" s="397"/>
      <c r="AU337" s="397"/>
      <c r="AV337" s="397"/>
      <c r="AW337" s="397"/>
      <c r="AX337" s="397"/>
      <c r="AY337" s="397"/>
      <c r="AZ337" s="397"/>
      <c r="BA337" s="397"/>
      <c r="BB337" s="397"/>
      <c r="BC337" s="397"/>
      <c r="BD337" s="397"/>
      <c r="BE337" s="397"/>
      <c r="BF337" s="397"/>
      <c r="BG337" s="397"/>
      <c r="BH337" s="397"/>
      <c r="BI337" s="397"/>
      <c r="BJ337" s="397"/>
      <c r="BK337" s="397"/>
      <c r="BL337" s="397"/>
      <c r="BM337" s="397"/>
      <c r="BN337" s="397"/>
    </row>
    <row r="338" spans="5:66" ht="14.25">
      <c r="E338" s="397"/>
      <c r="F338" s="397"/>
      <c r="G338" s="397"/>
      <c r="H338" s="397"/>
      <c r="I338" s="397"/>
      <c r="J338" s="397"/>
      <c r="K338" s="397"/>
      <c r="L338" s="397"/>
      <c r="M338" s="397"/>
      <c r="N338" s="397"/>
      <c r="O338" s="397"/>
      <c r="P338" s="397"/>
      <c r="Q338" s="397"/>
      <c r="R338" s="397"/>
      <c r="S338" s="397"/>
      <c r="T338" s="397"/>
      <c r="U338" s="397"/>
      <c r="V338" s="397"/>
      <c r="W338" s="397"/>
      <c r="X338" s="397"/>
      <c r="Y338" s="397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/>
      <c r="AJ338" s="397"/>
      <c r="AK338" s="397"/>
      <c r="AL338" s="397"/>
      <c r="AM338" s="397"/>
      <c r="AN338" s="397"/>
      <c r="AO338" s="397"/>
      <c r="AP338" s="397"/>
      <c r="AQ338" s="397"/>
      <c r="AR338" s="397"/>
      <c r="AS338" s="397"/>
      <c r="AT338" s="397"/>
      <c r="AU338" s="397"/>
      <c r="AV338" s="397"/>
      <c r="AW338" s="397"/>
      <c r="AX338" s="397"/>
      <c r="AY338" s="397"/>
      <c r="AZ338" s="397"/>
      <c r="BA338" s="397"/>
      <c r="BB338" s="397"/>
      <c r="BC338" s="397"/>
      <c r="BD338" s="397"/>
      <c r="BE338" s="397"/>
      <c r="BF338" s="397"/>
      <c r="BG338" s="397"/>
      <c r="BH338" s="397"/>
      <c r="BI338" s="397"/>
      <c r="BJ338" s="397"/>
      <c r="BK338" s="397"/>
      <c r="BL338" s="397"/>
      <c r="BM338" s="397"/>
      <c r="BN338" s="397"/>
    </row>
    <row r="339" spans="5:66" ht="14.25">
      <c r="E339" s="397"/>
      <c r="F339" s="397"/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  <c r="T339" s="397"/>
      <c r="U339" s="397"/>
      <c r="V339" s="397"/>
      <c r="W339" s="397"/>
      <c r="X339" s="397"/>
      <c r="Y339" s="397"/>
      <c r="Z339" s="397"/>
      <c r="AA339" s="397"/>
      <c r="AB339" s="397"/>
      <c r="AC339" s="397"/>
      <c r="AD339" s="397"/>
      <c r="AE339" s="397"/>
      <c r="AF339" s="397"/>
      <c r="AG339" s="397"/>
      <c r="AH339" s="397"/>
      <c r="AI339" s="397"/>
      <c r="AJ339" s="397"/>
      <c r="AK339" s="397"/>
      <c r="AL339" s="397"/>
      <c r="AM339" s="397"/>
      <c r="AN339" s="397"/>
      <c r="AO339" s="397"/>
      <c r="AP339" s="397"/>
      <c r="AQ339" s="397"/>
      <c r="AR339" s="397"/>
      <c r="AS339" s="397"/>
      <c r="AT339" s="397"/>
      <c r="AU339" s="397"/>
      <c r="AV339" s="397"/>
      <c r="AW339" s="397"/>
      <c r="AX339" s="397"/>
      <c r="AY339" s="397"/>
      <c r="AZ339" s="397"/>
      <c r="BA339" s="397"/>
      <c r="BB339" s="397"/>
      <c r="BC339" s="397"/>
      <c r="BD339" s="397"/>
      <c r="BE339" s="397"/>
      <c r="BF339" s="397"/>
      <c r="BG339" s="397"/>
      <c r="BH339" s="397"/>
      <c r="BI339" s="397"/>
      <c r="BJ339" s="397"/>
      <c r="BK339" s="397"/>
      <c r="BL339" s="397"/>
      <c r="BM339" s="397"/>
      <c r="BN339" s="397"/>
    </row>
    <row r="340" spans="5:66" ht="14.25">
      <c r="E340" s="397"/>
      <c r="F340" s="397"/>
      <c r="G340" s="397"/>
      <c r="H340" s="397"/>
      <c r="I340" s="397"/>
      <c r="J340" s="397"/>
      <c r="K340" s="397"/>
      <c r="L340" s="397"/>
      <c r="M340" s="397"/>
      <c r="N340" s="397"/>
      <c r="O340" s="397"/>
      <c r="P340" s="397"/>
      <c r="Q340" s="397"/>
      <c r="R340" s="397"/>
      <c r="S340" s="397"/>
      <c r="T340" s="397"/>
      <c r="U340" s="397"/>
      <c r="V340" s="397"/>
      <c r="W340" s="397"/>
      <c r="X340" s="397"/>
      <c r="Y340" s="397"/>
      <c r="Z340" s="397"/>
      <c r="AA340" s="397"/>
      <c r="AB340" s="397"/>
      <c r="AC340" s="397"/>
      <c r="AD340" s="397"/>
      <c r="AE340" s="397"/>
      <c r="AF340" s="397"/>
      <c r="AG340" s="397"/>
      <c r="AH340" s="397"/>
      <c r="AI340" s="397"/>
      <c r="AJ340" s="397"/>
      <c r="AK340" s="397"/>
      <c r="AL340" s="397"/>
      <c r="AM340" s="397"/>
      <c r="AN340" s="397"/>
      <c r="AO340" s="397"/>
      <c r="AP340" s="397"/>
      <c r="AQ340" s="397"/>
      <c r="AR340" s="397"/>
      <c r="AS340" s="397"/>
      <c r="AT340" s="397"/>
      <c r="AU340" s="397"/>
      <c r="AV340" s="397"/>
      <c r="AW340" s="397"/>
      <c r="AX340" s="397"/>
      <c r="AY340" s="397"/>
      <c r="AZ340" s="397"/>
      <c r="BA340" s="397"/>
      <c r="BB340" s="397"/>
      <c r="BC340" s="397"/>
      <c r="BD340" s="397"/>
      <c r="BE340" s="397"/>
      <c r="BF340" s="397"/>
      <c r="BG340" s="397"/>
      <c r="BH340" s="397"/>
      <c r="BI340" s="397"/>
      <c r="BJ340" s="397"/>
      <c r="BK340" s="397"/>
      <c r="BL340" s="397"/>
      <c r="BM340" s="397"/>
      <c r="BN340" s="397"/>
    </row>
    <row r="341" spans="5:66" ht="14.25">
      <c r="E341" s="397"/>
      <c r="F341" s="397"/>
      <c r="G341" s="397"/>
      <c r="H341" s="397"/>
      <c r="I341" s="397"/>
      <c r="J341" s="397"/>
      <c r="K341" s="397"/>
      <c r="L341" s="397"/>
      <c r="M341" s="397"/>
      <c r="N341" s="397"/>
      <c r="O341" s="397"/>
      <c r="P341" s="397"/>
      <c r="Q341" s="397"/>
      <c r="R341" s="397"/>
      <c r="S341" s="397"/>
      <c r="T341" s="397"/>
      <c r="U341" s="397"/>
      <c r="V341" s="397"/>
      <c r="W341" s="397"/>
      <c r="X341" s="397"/>
      <c r="Y341" s="397"/>
      <c r="Z341" s="397"/>
      <c r="AA341" s="397"/>
      <c r="AB341" s="397"/>
      <c r="AC341" s="397"/>
      <c r="AD341" s="397"/>
      <c r="AE341" s="397"/>
      <c r="AF341" s="397"/>
      <c r="AG341" s="397"/>
      <c r="AH341" s="397"/>
      <c r="AI341" s="397"/>
      <c r="AJ341" s="397"/>
      <c r="AK341" s="397"/>
      <c r="AL341" s="397"/>
      <c r="AM341" s="397"/>
      <c r="AN341" s="397"/>
      <c r="AO341" s="397"/>
      <c r="AP341" s="397"/>
      <c r="AQ341" s="397"/>
      <c r="AR341" s="397"/>
      <c r="AS341" s="397"/>
      <c r="AT341" s="397"/>
      <c r="AU341" s="397"/>
      <c r="AV341" s="397"/>
      <c r="AW341" s="397"/>
      <c r="AX341" s="397"/>
      <c r="AY341" s="397"/>
      <c r="AZ341" s="397"/>
      <c r="BA341" s="397"/>
      <c r="BB341" s="397"/>
      <c r="BC341" s="397"/>
      <c r="BD341" s="397"/>
      <c r="BE341" s="397"/>
      <c r="BF341" s="397"/>
      <c r="BG341" s="397"/>
      <c r="BH341" s="397"/>
      <c r="BI341" s="397"/>
      <c r="BJ341" s="397"/>
      <c r="BK341" s="397"/>
      <c r="BL341" s="397"/>
      <c r="BM341" s="397"/>
      <c r="BN341" s="397"/>
    </row>
    <row r="342" spans="5:66" ht="14.25">
      <c r="E342" s="397"/>
      <c r="F342" s="397"/>
      <c r="G342" s="397"/>
      <c r="H342" s="397"/>
      <c r="I342" s="397"/>
      <c r="J342" s="397"/>
      <c r="K342" s="397"/>
      <c r="L342" s="397"/>
      <c r="M342" s="397"/>
      <c r="N342" s="397"/>
      <c r="O342" s="397"/>
      <c r="P342" s="397"/>
      <c r="Q342" s="397"/>
      <c r="R342" s="397"/>
      <c r="S342" s="397"/>
      <c r="T342" s="397"/>
      <c r="U342" s="397"/>
      <c r="V342" s="397"/>
      <c r="W342" s="397"/>
      <c r="X342" s="397"/>
      <c r="Y342" s="397"/>
      <c r="Z342" s="397"/>
      <c r="AA342" s="397"/>
      <c r="AB342" s="397"/>
      <c r="AC342" s="397"/>
      <c r="AD342" s="397"/>
      <c r="AE342" s="397"/>
      <c r="AF342" s="397"/>
      <c r="AG342" s="397"/>
      <c r="AH342" s="397"/>
      <c r="AI342" s="397"/>
      <c r="AJ342" s="397"/>
      <c r="AK342" s="397"/>
      <c r="AL342" s="397"/>
      <c r="AM342" s="397"/>
      <c r="AN342" s="397"/>
      <c r="AO342" s="397"/>
      <c r="AP342" s="397"/>
      <c r="AQ342" s="397"/>
      <c r="AR342" s="397"/>
      <c r="AS342" s="397"/>
      <c r="AT342" s="397"/>
      <c r="AU342" s="397"/>
      <c r="AV342" s="397"/>
      <c r="AW342" s="397"/>
      <c r="AX342" s="397"/>
      <c r="AY342" s="397"/>
      <c r="AZ342" s="397"/>
      <c r="BA342" s="397"/>
      <c r="BB342" s="397"/>
      <c r="BC342" s="397"/>
      <c r="BD342" s="397"/>
      <c r="BE342" s="397"/>
      <c r="BF342" s="397"/>
      <c r="BG342" s="397"/>
      <c r="BH342" s="397"/>
      <c r="BI342" s="397"/>
      <c r="BJ342" s="397"/>
      <c r="BK342" s="397"/>
      <c r="BL342" s="397"/>
      <c r="BM342" s="397"/>
      <c r="BN342" s="397"/>
    </row>
    <row r="343" spans="5:66" ht="14.25">
      <c r="E343" s="397"/>
      <c r="F343" s="397"/>
      <c r="G343" s="397"/>
      <c r="H343" s="397"/>
      <c r="I343" s="397"/>
      <c r="J343" s="397"/>
      <c r="K343" s="397"/>
      <c r="L343" s="397"/>
      <c r="M343" s="397"/>
      <c r="N343" s="397"/>
      <c r="O343" s="397"/>
      <c r="P343" s="397"/>
      <c r="Q343" s="397"/>
      <c r="R343" s="397"/>
      <c r="S343" s="397"/>
      <c r="T343" s="397"/>
      <c r="U343" s="397"/>
      <c r="V343" s="397"/>
      <c r="W343" s="397"/>
      <c r="X343" s="397"/>
      <c r="Y343" s="397"/>
      <c r="Z343" s="397"/>
      <c r="AA343" s="397"/>
      <c r="AB343" s="397"/>
      <c r="AC343" s="397"/>
      <c r="AD343" s="397"/>
      <c r="AE343" s="397"/>
      <c r="AF343" s="397"/>
      <c r="AG343" s="397"/>
      <c r="AH343" s="397"/>
      <c r="AI343" s="397"/>
      <c r="AJ343" s="397"/>
      <c r="AK343" s="397"/>
      <c r="AL343" s="397"/>
      <c r="AM343" s="397"/>
      <c r="AN343" s="397"/>
      <c r="AO343" s="397"/>
      <c r="AP343" s="397"/>
      <c r="AQ343" s="397"/>
      <c r="AR343" s="397"/>
      <c r="AS343" s="397"/>
      <c r="AT343" s="397"/>
      <c r="AU343" s="397"/>
      <c r="AV343" s="397"/>
      <c r="AW343" s="397"/>
      <c r="AX343" s="397"/>
      <c r="AY343" s="397"/>
      <c r="AZ343" s="397"/>
      <c r="BA343" s="397"/>
      <c r="BB343" s="397"/>
      <c r="BC343" s="397"/>
      <c r="BD343" s="397"/>
      <c r="BE343" s="397"/>
      <c r="BF343" s="397"/>
      <c r="BG343" s="397"/>
      <c r="BH343" s="397"/>
      <c r="BI343" s="397"/>
      <c r="BJ343" s="397"/>
      <c r="BK343" s="397"/>
      <c r="BL343" s="397"/>
      <c r="BM343" s="397"/>
      <c r="BN343" s="397"/>
    </row>
    <row r="344" spans="5:66" ht="14.25">
      <c r="E344" s="397"/>
      <c r="F344" s="397"/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7"/>
      <c r="R344" s="397"/>
      <c r="S344" s="397"/>
      <c r="T344" s="397"/>
      <c r="U344" s="397"/>
      <c r="V344" s="397"/>
      <c r="W344" s="397"/>
      <c r="X344" s="397"/>
      <c r="Y344" s="397"/>
      <c r="Z344" s="397"/>
      <c r="AA344" s="397"/>
      <c r="AB344" s="397"/>
      <c r="AC344" s="397"/>
      <c r="AD344" s="397"/>
      <c r="AE344" s="397"/>
      <c r="AF344" s="397"/>
      <c r="AG344" s="397"/>
      <c r="AH344" s="397"/>
      <c r="AI344" s="397"/>
      <c r="AJ344" s="397"/>
      <c r="AK344" s="397"/>
      <c r="AL344" s="397"/>
      <c r="AM344" s="397"/>
      <c r="AN344" s="397"/>
      <c r="AO344" s="397"/>
      <c r="AP344" s="397"/>
      <c r="AQ344" s="397"/>
      <c r="AR344" s="397"/>
      <c r="AS344" s="397"/>
      <c r="AT344" s="397"/>
      <c r="AU344" s="397"/>
      <c r="AV344" s="397"/>
      <c r="AW344" s="397"/>
      <c r="AX344" s="397"/>
      <c r="AY344" s="397"/>
      <c r="AZ344" s="397"/>
      <c r="BA344" s="397"/>
      <c r="BB344" s="397"/>
      <c r="BC344" s="397"/>
      <c r="BD344" s="397"/>
      <c r="BE344" s="397"/>
      <c r="BF344" s="397"/>
      <c r="BG344" s="397"/>
      <c r="BH344" s="397"/>
      <c r="BI344" s="397"/>
      <c r="BJ344" s="397"/>
      <c r="BK344" s="397"/>
      <c r="BL344" s="397"/>
      <c r="BM344" s="397"/>
      <c r="BN344" s="397"/>
    </row>
    <row r="345" spans="5:66" ht="14.25">
      <c r="E345" s="397"/>
      <c r="F345" s="397"/>
      <c r="G345" s="397"/>
      <c r="H345" s="397"/>
      <c r="I345" s="397"/>
      <c r="J345" s="397"/>
      <c r="K345" s="397"/>
      <c r="L345" s="397"/>
      <c r="M345" s="397"/>
      <c r="N345" s="397"/>
      <c r="O345" s="397"/>
      <c r="P345" s="397"/>
      <c r="Q345" s="397"/>
      <c r="R345" s="397"/>
      <c r="S345" s="397"/>
      <c r="T345" s="397"/>
      <c r="U345" s="397"/>
      <c r="V345" s="397"/>
      <c r="W345" s="397"/>
      <c r="X345" s="397"/>
      <c r="Y345" s="397"/>
      <c r="Z345" s="397"/>
      <c r="AA345" s="397"/>
      <c r="AB345" s="397"/>
      <c r="AC345" s="397"/>
      <c r="AD345" s="397"/>
      <c r="AE345" s="397"/>
      <c r="AF345" s="397"/>
      <c r="AG345" s="397"/>
      <c r="AH345" s="397"/>
      <c r="AI345" s="397"/>
      <c r="AJ345" s="397"/>
      <c r="AK345" s="397"/>
      <c r="AL345" s="397"/>
      <c r="AM345" s="397"/>
      <c r="AN345" s="397"/>
      <c r="AO345" s="397"/>
      <c r="AP345" s="397"/>
      <c r="AQ345" s="397"/>
      <c r="AR345" s="397"/>
      <c r="AS345" s="397"/>
      <c r="AT345" s="397"/>
      <c r="AU345" s="397"/>
      <c r="AV345" s="397"/>
      <c r="AW345" s="397"/>
      <c r="AX345" s="397"/>
      <c r="AY345" s="397"/>
      <c r="AZ345" s="397"/>
      <c r="BA345" s="397"/>
      <c r="BB345" s="397"/>
      <c r="BC345" s="397"/>
      <c r="BD345" s="397"/>
      <c r="BE345" s="397"/>
      <c r="BF345" s="397"/>
      <c r="BG345" s="397"/>
      <c r="BH345" s="397"/>
      <c r="BI345" s="397"/>
      <c r="BJ345" s="397"/>
      <c r="BK345" s="397"/>
      <c r="BL345" s="397"/>
      <c r="BM345" s="397"/>
      <c r="BN345" s="397"/>
    </row>
    <row r="346" spans="5:66" ht="14.25">
      <c r="E346" s="397"/>
      <c r="F346" s="397"/>
      <c r="G346" s="397"/>
      <c r="H346" s="397"/>
      <c r="I346" s="397"/>
      <c r="J346" s="397"/>
      <c r="K346" s="397"/>
      <c r="L346" s="397"/>
      <c r="M346" s="397"/>
      <c r="N346" s="397"/>
      <c r="O346" s="397"/>
      <c r="P346" s="397"/>
      <c r="Q346" s="397"/>
      <c r="R346" s="397"/>
      <c r="S346" s="397"/>
      <c r="T346" s="397"/>
      <c r="U346" s="397"/>
      <c r="V346" s="397"/>
      <c r="W346" s="397"/>
      <c r="X346" s="397"/>
      <c r="Y346" s="397"/>
      <c r="Z346" s="397"/>
      <c r="AA346" s="397"/>
      <c r="AB346" s="397"/>
      <c r="AC346" s="397"/>
      <c r="AD346" s="397"/>
      <c r="AE346" s="397"/>
      <c r="AF346" s="397"/>
      <c r="AG346" s="397"/>
      <c r="AH346" s="397"/>
      <c r="AI346" s="397"/>
      <c r="AJ346" s="397"/>
      <c r="AK346" s="397"/>
      <c r="AL346" s="397"/>
      <c r="AM346" s="397"/>
      <c r="AN346" s="397"/>
      <c r="AO346" s="397"/>
      <c r="AP346" s="397"/>
      <c r="AQ346" s="397"/>
      <c r="AR346" s="397"/>
      <c r="AS346" s="397"/>
      <c r="AT346" s="397"/>
      <c r="AU346" s="397"/>
      <c r="AV346" s="397"/>
      <c r="AW346" s="397"/>
      <c r="AX346" s="397"/>
      <c r="AY346" s="397"/>
      <c r="AZ346" s="397"/>
      <c r="BA346" s="397"/>
      <c r="BB346" s="397"/>
      <c r="BC346" s="397"/>
      <c r="BD346" s="397"/>
      <c r="BE346" s="397"/>
      <c r="BF346" s="397"/>
      <c r="BG346" s="397"/>
      <c r="BH346" s="397"/>
      <c r="BI346" s="397"/>
      <c r="BJ346" s="397"/>
      <c r="BK346" s="397"/>
      <c r="BL346" s="397"/>
      <c r="BM346" s="397"/>
      <c r="BN346" s="397"/>
    </row>
    <row r="347" spans="5:66" ht="14.25">
      <c r="E347" s="397"/>
      <c r="F347" s="397"/>
      <c r="G347" s="397"/>
      <c r="H347" s="397"/>
      <c r="I347" s="397"/>
      <c r="J347" s="397"/>
      <c r="K347" s="397"/>
      <c r="L347" s="397"/>
      <c r="M347" s="397"/>
      <c r="N347" s="397"/>
      <c r="O347" s="397"/>
      <c r="P347" s="397"/>
      <c r="Q347" s="397"/>
      <c r="R347" s="397"/>
      <c r="S347" s="397"/>
      <c r="T347" s="397"/>
      <c r="U347" s="397"/>
      <c r="V347" s="397"/>
      <c r="W347" s="397"/>
      <c r="X347" s="397"/>
      <c r="Y347" s="397"/>
      <c r="Z347" s="397"/>
      <c r="AA347" s="397"/>
      <c r="AB347" s="397"/>
      <c r="AC347" s="397"/>
      <c r="AD347" s="397"/>
      <c r="AE347" s="397"/>
      <c r="AF347" s="397"/>
      <c r="AG347" s="397"/>
      <c r="AH347" s="397"/>
      <c r="AI347" s="397"/>
      <c r="AJ347" s="397"/>
      <c r="AK347" s="397"/>
      <c r="AL347" s="397"/>
      <c r="AM347" s="397"/>
      <c r="AN347" s="397"/>
      <c r="AO347" s="397"/>
      <c r="AP347" s="397"/>
      <c r="AQ347" s="397"/>
      <c r="AR347" s="397"/>
      <c r="AS347" s="397"/>
      <c r="AT347" s="397"/>
      <c r="AU347" s="397"/>
      <c r="AV347" s="397"/>
      <c r="AW347" s="397"/>
      <c r="AX347" s="397"/>
      <c r="AY347" s="397"/>
      <c r="AZ347" s="397"/>
      <c r="BA347" s="397"/>
      <c r="BB347" s="397"/>
      <c r="BC347" s="397"/>
      <c r="BD347" s="397"/>
      <c r="BE347" s="397"/>
      <c r="BF347" s="397"/>
      <c r="BG347" s="397"/>
      <c r="BH347" s="397"/>
      <c r="BI347" s="397"/>
      <c r="BJ347" s="397"/>
      <c r="BK347" s="397"/>
      <c r="BL347" s="397"/>
      <c r="BM347" s="397"/>
      <c r="BN347" s="397"/>
    </row>
    <row r="348" spans="5:66" ht="14.25"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7"/>
      <c r="Q348" s="397"/>
      <c r="R348" s="397"/>
      <c r="S348" s="397"/>
      <c r="T348" s="397"/>
      <c r="U348" s="397"/>
      <c r="V348" s="397"/>
      <c r="W348" s="397"/>
      <c r="X348" s="397"/>
      <c r="Y348" s="397"/>
      <c r="Z348" s="397"/>
      <c r="AA348" s="397"/>
      <c r="AB348" s="397"/>
      <c r="AC348" s="397"/>
      <c r="AD348" s="397"/>
      <c r="AE348" s="397"/>
      <c r="AF348" s="397"/>
      <c r="AG348" s="397"/>
      <c r="AH348" s="397"/>
      <c r="AI348" s="397"/>
      <c r="AJ348" s="397"/>
      <c r="AK348" s="397"/>
      <c r="AL348" s="397"/>
      <c r="AM348" s="397"/>
      <c r="AN348" s="397"/>
      <c r="AO348" s="397"/>
      <c r="AP348" s="397"/>
      <c r="AQ348" s="397"/>
      <c r="AR348" s="397"/>
      <c r="AS348" s="397"/>
      <c r="AT348" s="397"/>
      <c r="AU348" s="397"/>
      <c r="AV348" s="397"/>
      <c r="AW348" s="397"/>
      <c r="AX348" s="397"/>
      <c r="AY348" s="397"/>
      <c r="AZ348" s="397"/>
      <c r="BA348" s="397"/>
      <c r="BB348" s="397"/>
      <c r="BC348" s="397"/>
      <c r="BD348" s="397"/>
      <c r="BE348" s="397"/>
      <c r="BF348" s="397"/>
      <c r="BG348" s="397"/>
      <c r="BH348" s="397"/>
      <c r="BI348" s="397"/>
      <c r="BJ348" s="397"/>
      <c r="BK348" s="397"/>
      <c r="BL348" s="397"/>
      <c r="BM348" s="397"/>
      <c r="BN348" s="397"/>
    </row>
    <row r="349" spans="5:66" ht="14.25">
      <c r="E349" s="397"/>
      <c r="F349" s="397"/>
      <c r="G349" s="397"/>
      <c r="H349" s="397"/>
      <c r="I349" s="397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7"/>
      <c r="Z349" s="397"/>
      <c r="AA349" s="397"/>
      <c r="AB349" s="397"/>
      <c r="AC349" s="397"/>
      <c r="AD349" s="397"/>
      <c r="AE349" s="397"/>
      <c r="AF349" s="397"/>
      <c r="AG349" s="397"/>
      <c r="AH349" s="397"/>
      <c r="AI349" s="397"/>
      <c r="AJ349" s="397"/>
      <c r="AK349" s="397"/>
      <c r="AL349" s="397"/>
      <c r="AM349" s="397"/>
      <c r="AN349" s="397"/>
      <c r="AO349" s="397"/>
      <c r="AP349" s="397"/>
      <c r="AQ349" s="397"/>
      <c r="AR349" s="397"/>
      <c r="AS349" s="397"/>
      <c r="AT349" s="397"/>
      <c r="AU349" s="397"/>
      <c r="AV349" s="397"/>
      <c r="AW349" s="397"/>
      <c r="AX349" s="397"/>
      <c r="AY349" s="397"/>
      <c r="AZ349" s="397"/>
      <c r="BA349" s="397"/>
      <c r="BB349" s="397"/>
      <c r="BC349" s="397"/>
      <c r="BD349" s="397"/>
      <c r="BE349" s="397"/>
      <c r="BF349" s="397"/>
      <c r="BG349" s="397"/>
      <c r="BH349" s="397"/>
      <c r="BI349" s="397"/>
      <c r="BJ349" s="397"/>
      <c r="BK349" s="397"/>
      <c r="BL349" s="397"/>
      <c r="BM349" s="397"/>
      <c r="BN349" s="397"/>
    </row>
    <row r="350" spans="5:66" ht="14.25">
      <c r="E350" s="397"/>
      <c r="F350" s="397"/>
      <c r="G350" s="397"/>
      <c r="H350" s="397"/>
      <c r="I350" s="397"/>
      <c r="J350" s="397"/>
      <c r="K350" s="397"/>
      <c r="L350" s="397"/>
      <c r="M350" s="397"/>
      <c r="N350" s="397"/>
      <c r="O350" s="397"/>
      <c r="P350" s="397"/>
      <c r="Q350" s="397"/>
      <c r="R350" s="397"/>
      <c r="S350" s="397"/>
      <c r="T350" s="397"/>
      <c r="U350" s="397"/>
      <c r="V350" s="397"/>
      <c r="W350" s="397"/>
      <c r="X350" s="397"/>
      <c r="Y350" s="397"/>
      <c r="Z350" s="397"/>
      <c r="AA350" s="397"/>
      <c r="AB350" s="397"/>
      <c r="AC350" s="397"/>
      <c r="AD350" s="397"/>
      <c r="AE350" s="397"/>
      <c r="AF350" s="397"/>
      <c r="AG350" s="397"/>
      <c r="AH350" s="397"/>
      <c r="AI350" s="397"/>
      <c r="AJ350" s="397"/>
      <c r="AK350" s="397"/>
      <c r="AL350" s="397"/>
      <c r="AM350" s="397"/>
      <c r="AN350" s="397"/>
      <c r="AO350" s="397"/>
      <c r="AP350" s="397"/>
      <c r="AQ350" s="397"/>
      <c r="AR350" s="397"/>
      <c r="AS350" s="397"/>
      <c r="AT350" s="397"/>
      <c r="AU350" s="397"/>
      <c r="AV350" s="397"/>
      <c r="AW350" s="397"/>
      <c r="AX350" s="397"/>
      <c r="AY350" s="397"/>
      <c r="AZ350" s="397"/>
      <c r="BA350" s="397"/>
      <c r="BB350" s="397"/>
      <c r="BC350" s="397"/>
      <c r="BD350" s="397"/>
      <c r="BE350" s="397"/>
      <c r="BF350" s="397"/>
      <c r="BG350" s="397"/>
      <c r="BH350" s="397"/>
      <c r="BI350" s="397"/>
      <c r="BJ350" s="397"/>
      <c r="BK350" s="397"/>
      <c r="BL350" s="397"/>
      <c r="BM350" s="397"/>
      <c r="BN350" s="397"/>
    </row>
    <row r="351" spans="5:66" ht="14.25">
      <c r="E351" s="397"/>
      <c r="F351" s="397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  <c r="S351" s="397"/>
      <c r="T351" s="397"/>
      <c r="U351" s="397"/>
      <c r="V351" s="397"/>
      <c r="W351" s="397"/>
      <c r="X351" s="397"/>
      <c r="Y351" s="397"/>
      <c r="Z351" s="397"/>
      <c r="AA351" s="397"/>
      <c r="AB351" s="397"/>
      <c r="AC351" s="397"/>
      <c r="AD351" s="397"/>
      <c r="AE351" s="397"/>
      <c r="AF351" s="397"/>
      <c r="AG351" s="397"/>
      <c r="AH351" s="397"/>
      <c r="AI351" s="397"/>
      <c r="AJ351" s="397"/>
      <c r="AK351" s="397"/>
      <c r="AL351" s="397"/>
      <c r="AM351" s="397"/>
      <c r="AN351" s="397"/>
      <c r="AO351" s="397"/>
      <c r="AP351" s="397"/>
      <c r="AQ351" s="397"/>
      <c r="AR351" s="397"/>
      <c r="AS351" s="397"/>
      <c r="AT351" s="397"/>
      <c r="AU351" s="397"/>
      <c r="AV351" s="397"/>
      <c r="AW351" s="397"/>
      <c r="AX351" s="397"/>
      <c r="AY351" s="397"/>
      <c r="AZ351" s="397"/>
      <c r="BA351" s="397"/>
      <c r="BB351" s="397"/>
      <c r="BC351" s="397"/>
      <c r="BD351" s="397"/>
      <c r="BE351" s="397"/>
      <c r="BF351" s="397"/>
      <c r="BG351" s="397"/>
      <c r="BH351" s="397"/>
      <c r="BI351" s="397"/>
      <c r="BJ351" s="397"/>
      <c r="BK351" s="397"/>
      <c r="BL351" s="397"/>
      <c r="BM351" s="397"/>
      <c r="BN351" s="397"/>
    </row>
    <row r="352" spans="5:66" ht="14.25"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7"/>
      <c r="AP352" s="397"/>
      <c r="AQ352" s="397"/>
      <c r="AR352" s="397"/>
      <c r="AS352" s="397"/>
      <c r="AT352" s="397"/>
      <c r="AU352" s="397"/>
      <c r="AV352" s="397"/>
      <c r="AW352" s="397"/>
      <c r="AX352" s="397"/>
      <c r="AY352" s="397"/>
      <c r="AZ352" s="397"/>
      <c r="BA352" s="397"/>
      <c r="BB352" s="397"/>
      <c r="BC352" s="397"/>
      <c r="BD352" s="397"/>
      <c r="BE352" s="397"/>
      <c r="BF352" s="397"/>
      <c r="BG352" s="397"/>
      <c r="BH352" s="397"/>
      <c r="BI352" s="397"/>
      <c r="BJ352" s="397"/>
      <c r="BK352" s="397"/>
      <c r="BL352" s="397"/>
      <c r="BM352" s="397"/>
      <c r="BN352" s="397"/>
    </row>
    <row r="353" spans="5:66" ht="14.25">
      <c r="E353" s="397"/>
      <c r="F353" s="397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  <c r="BA353" s="397"/>
      <c r="BB353" s="397"/>
      <c r="BC353" s="397"/>
      <c r="BD353" s="397"/>
      <c r="BE353" s="397"/>
      <c r="BF353" s="397"/>
      <c r="BG353" s="397"/>
      <c r="BH353" s="397"/>
      <c r="BI353" s="397"/>
      <c r="BJ353" s="397"/>
      <c r="BK353" s="397"/>
      <c r="BL353" s="397"/>
      <c r="BM353" s="397"/>
      <c r="BN353" s="397"/>
    </row>
    <row r="354" spans="5:66" ht="14.25">
      <c r="E354" s="397"/>
      <c r="F354" s="397"/>
      <c r="G354" s="397"/>
      <c r="H354" s="397"/>
      <c r="I354" s="397"/>
      <c r="J354" s="397"/>
      <c r="K354" s="397"/>
      <c r="L354" s="397"/>
      <c r="M354" s="397"/>
      <c r="N354" s="397"/>
      <c r="O354" s="397"/>
      <c r="P354" s="397"/>
      <c r="Q354" s="397"/>
      <c r="R354" s="397"/>
      <c r="S354" s="397"/>
      <c r="T354" s="397"/>
      <c r="U354" s="397"/>
      <c r="V354" s="397"/>
      <c r="W354" s="397"/>
      <c r="X354" s="397"/>
      <c r="Y354" s="397"/>
      <c r="Z354" s="397"/>
      <c r="AA354" s="397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  <c r="BA354" s="397"/>
      <c r="BB354" s="397"/>
      <c r="BC354" s="397"/>
      <c r="BD354" s="397"/>
      <c r="BE354" s="397"/>
      <c r="BF354" s="397"/>
      <c r="BG354" s="397"/>
      <c r="BH354" s="397"/>
      <c r="BI354" s="397"/>
      <c r="BJ354" s="397"/>
      <c r="BK354" s="397"/>
      <c r="BL354" s="397"/>
      <c r="BM354" s="397"/>
      <c r="BN354" s="397"/>
    </row>
    <row r="355" spans="5:66" ht="14.25">
      <c r="E355" s="397"/>
      <c r="F355" s="397"/>
      <c r="G355" s="397"/>
      <c r="H355" s="397"/>
      <c r="I355" s="397"/>
      <c r="J355" s="397"/>
      <c r="K355" s="397"/>
      <c r="L355" s="397"/>
      <c r="M355" s="397"/>
      <c r="N355" s="397"/>
      <c r="O355" s="397"/>
      <c r="P355" s="397"/>
      <c r="Q355" s="397"/>
      <c r="R355" s="397"/>
      <c r="S355" s="397"/>
      <c r="T355" s="397"/>
      <c r="U355" s="397"/>
      <c r="V355" s="397"/>
      <c r="W355" s="397"/>
      <c r="X355" s="397"/>
      <c r="Y355" s="397"/>
      <c r="Z355" s="397"/>
      <c r="AA355" s="397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  <c r="BA355" s="397"/>
      <c r="BB355" s="397"/>
      <c r="BC355" s="397"/>
      <c r="BD355" s="397"/>
      <c r="BE355" s="397"/>
      <c r="BF355" s="397"/>
      <c r="BG355" s="397"/>
      <c r="BH355" s="397"/>
      <c r="BI355" s="397"/>
      <c r="BJ355" s="397"/>
      <c r="BK355" s="397"/>
      <c r="BL355" s="397"/>
      <c r="BM355" s="397"/>
      <c r="BN355" s="397"/>
    </row>
    <row r="356" spans="5:66" ht="14.25">
      <c r="E356" s="397"/>
      <c r="F356" s="397"/>
      <c r="G356" s="397"/>
      <c r="H356" s="397"/>
      <c r="I356" s="397"/>
      <c r="J356" s="397"/>
      <c r="K356" s="397"/>
      <c r="L356" s="397"/>
      <c r="M356" s="397"/>
      <c r="N356" s="397"/>
      <c r="O356" s="397"/>
      <c r="P356" s="397"/>
      <c r="Q356" s="397"/>
      <c r="R356" s="397"/>
      <c r="S356" s="397"/>
      <c r="T356" s="397"/>
      <c r="U356" s="397"/>
      <c r="V356" s="397"/>
      <c r="W356" s="397"/>
      <c r="X356" s="397"/>
      <c r="Y356" s="397"/>
      <c r="Z356" s="397"/>
      <c r="AA356" s="397"/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  <c r="BA356" s="397"/>
      <c r="BB356" s="397"/>
      <c r="BC356" s="397"/>
      <c r="BD356" s="397"/>
      <c r="BE356" s="397"/>
      <c r="BF356" s="397"/>
      <c r="BG356" s="397"/>
      <c r="BH356" s="397"/>
      <c r="BI356" s="397"/>
      <c r="BJ356" s="397"/>
      <c r="BK356" s="397"/>
      <c r="BL356" s="397"/>
      <c r="BM356" s="397"/>
      <c r="BN356" s="397"/>
    </row>
    <row r="357" spans="5:66" ht="14.25">
      <c r="E357" s="397"/>
      <c r="F357" s="397"/>
      <c r="G357" s="397"/>
      <c r="H357" s="397"/>
      <c r="I357" s="397"/>
      <c r="J357" s="397"/>
      <c r="K357" s="397"/>
      <c r="L357" s="397"/>
      <c r="M357" s="397"/>
      <c r="N357" s="397"/>
      <c r="O357" s="397"/>
      <c r="P357" s="397"/>
      <c r="Q357" s="397"/>
      <c r="R357" s="397"/>
      <c r="S357" s="397"/>
      <c r="T357" s="397"/>
      <c r="U357" s="397"/>
      <c r="V357" s="397"/>
      <c r="W357" s="397"/>
      <c r="X357" s="397"/>
      <c r="Y357" s="397"/>
      <c r="Z357" s="397"/>
      <c r="AA357" s="397"/>
      <c r="AB357" s="397"/>
      <c r="AC357" s="397"/>
      <c r="AD357" s="397"/>
      <c r="AE357" s="397"/>
      <c r="AF357" s="397"/>
      <c r="AG357" s="397"/>
      <c r="AH357" s="397"/>
      <c r="AI357" s="397"/>
      <c r="AJ357" s="397"/>
      <c r="AK357" s="397"/>
      <c r="AL357" s="397"/>
      <c r="AM357" s="397"/>
      <c r="AN357" s="397"/>
      <c r="AO357" s="397"/>
      <c r="AP357" s="397"/>
      <c r="AQ357" s="397"/>
      <c r="AR357" s="397"/>
      <c r="AS357" s="397"/>
      <c r="AT357" s="397"/>
      <c r="AU357" s="397"/>
      <c r="AV357" s="397"/>
      <c r="AW357" s="397"/>
      <c r="AX357" s="397"/>
      <c r="AY357" s="397"/>
      <c r="AZ357" s="397"/>
      <c r="BA357" s="397"/>
      <c r="BB357" s="397"/>
      <c r="BC357" s="397"/>
      <c r="BD357" s="397"/>
      <c r="BE357" s="397"/>
      <c r="BF357" s="397"/>
      <c r="BG357" s="397"/>
      <c r="BH357" s="397"/>
      <c r="BI357" s="397"/>
      <c r="BJ357" s="397"/>
      <c r="BK357" s="397"/>
      <c r="BL357" s="397"/>
      <c r="BM357" s="397"/>
      <c r="BN357" s="397"/>
    </row>
    <row r="358" spans="5:66" ht="14.25">
      <c r="E358" s="397"/>
      <c r="F358" s="397"/>
      <c r="G358" s="397"/>
      <c r="H358" s="397"/>
      <c r="I358" s="397"/>
      <c r="J358" s="397"/>
      <c r="K358" s="397"/>
      <c r="L358" s="397"/>
      <c r="M358" s="397"/>
      <c r="N358" s="397"/>
      <c r="O358" s="397"/>
      <c r="P358" s="397"/>
      <c r="Q358" s="397"/>
      <c r="R358" s="397"/>
      <c r="S358" s="397"/>
      <c r="T358" s="397"/>
      <c r="U358" s="397"/>
      <c r="V358" s="397"/>
      <c r="W358" s="397"/>
      <c r="X358" s="397"/>
      <c r="Y358" s="397"/>
      <c r="Z358" s="397"/>
      <c r="AA358" s="39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  <c r="BA358" s="397"/>
      <c r="BB358" s="397"/>
      <c r="BC358" s="397"/>
      <c r="BD358" s="397"/>
      <c r="BE358" s="397"/>
      <c r="BF358" s="397"/>
      <c r="BG358" s="397"/>
      <c r="BH358" s="397"/>
      <c r="BI358" s="397"/>
      <c r="BJ358" s="397"/>
      <c r="BK358" s="397"/>
      <c r="BL358" s="397"/>
      <c r="BM358" s="397"/>
      <c r="BN358" s="397"/>
    </row>
    <row r="359" spans="5:66" ht="14.25">
      <c r="E359" s="397"/>
      <c r="F359" s="397"/>
      <c r="G359" s="397"/>
      <c r="H359" s="397"/>
      <c r="I359" s="397"/>
      <c r="J359" s="397"/>
      <c r="K359" s="397"/>
      <c r="L359" s="397"/>
      <c r="M359" s="397"/>
      <c r="N359" s="397"/>
      <c r="O359" s="397"/>
      <c r="P359" s="397"/>
      <c r="Q359" s="397"/>
      <c r="R359" s="397"/>
      <c r="S359" s="397"/>
      <c r="T359" s="397"/>
      <c r="U359" s="397"/>
      <c r="V359" s="397"/>
      <c r="W359" s="397"/>
      <c r="X359" s="397"/>
      <c r="Y359" s="397"/>
      <c r="Z359" s="397"/>
      <c r="AA359" s="39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  <c r="BA359" s="397"/>
      <c r="BB359" s="397"/>
      <c r="BC359" s="397"/>
      <c r="BD359" s="397"/>
      <c r="BE359" s="397"/>
      <c r="BF359" s="397"/>
      <c r="BG359" s="397"/>
      <c r="BH359" s="397"/>
      <c r="BI359" s="397"/>
      <c r="BJ359" s="397"/>
      <c r="BK359" s="397"/>
      <c r="BL359" s="397"/>
      <c r="BM359" s="397"/>
      <c r="BN359" s="397"/>
    </row>
    <row r="360" spans="5:66" ht="14.25">
      <c r="E360" s="397"/>
      <c r="F360" s="397"/>
      <c r="G360" s="397"/>
      <c r="H360" s="397"/>
      <c r="I360" s="397"/>
      <c r="J360" s="397"/>
      <c r="K360" s="397"/>
      <c r="L360" s="397"/>
      <c r="M360" s="397"/>
      <c r="N360" s="397"/>
      <c r="O360" s="397"/>
      <c r="P360" s="397"/>
      <c r="Q360" s="397"/>
      <c r="R360" s="397"/>
      <c r="S360" s="397"/>
      <c r="T360" s="397"/>
      <c r="U360" s="397"/>
      <c r="V360" s="397"/>
      <c r="W360" s="397"/>
      <c r="X360" s="397"/>
      <c r="Y360" s="397"/>
      <c r="Z360" s="397"/>
      <c r="AA360" s="397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  <c r="BA360" s="397"/>
      <c r="BB360" s="397"/>
      <c r="BC360" s="397"/>
      <c r="BD360" s="397"/>
      <c r="BE360" s="397"/>
      <c r="BF360" s="397"/>
      <c r="BG360" s="397"/>
      <c r="BH360" s="397"/>
      <c r="BI360" s="397"/>
      <c r="BJ360" s="397"/>
      <c r="BK360" s="397"/>
      <c r="BL360" s="397"/>
      <c r="BM360" s="397"/>
      <c r="BN360" s="397"/>
    </row>
    <row r="361" spans="5:66" ht="14.25">
      <c r="E361" s="397"/>
      <c r="F361" s="397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A361" s="397"/>
      <c r="AB361" s="397"/>
      <c r="AC361" s="397"/>
      <c r="AD361" s="397"/>
      <c r="AE361" s="397"/>
      <c r="AF361" s="397"/>
      <c r="AG361" s="397"/>
      <c r="AH361" s="397"/>
      <c r="AI361" s="397"/>
      <c r="AJ361" s="397"/>
      <c r="AK361" s="397"/>
      <c r="AL361" s="397"/>
      <c r="AM361" s="397"/>
      <c r="AN361" s="397"/>
      <c r="AO361" s="397"/>
      <c r="AP361" s="397"/>
      <c r="AQ361" s="397"/>
      <c r="AR361" s="397"/>
      <c r="AS361" s="397"/>
      <c r="AT361" s="397"/>
      <c r="AU361" s="397"/>
      <c r="AV361" s="397"/>
      <c r="AW361" s="397"/>
      <c r="AX361" s="397"/>
      <c r="AY361" s="397"/>
      <c r="AZ361" s="397"/>
      <c r="BA361" s="397"/>
      <c r="BB361" s="397"/>
      <c r="BC361" s="397"/>
      <c r="BD361" s="397"/>
      <c r="BE361" s="397"/>
      <c r="BF361" s="397"/>
      <c r="BG361" s="397"/>
      <c r="BH361" s="397"/>
      <c r="BI361" s="397"/>
      <c r="BJ361" s="397"/>
      <c r="BK361" s="397"/>
      <c r="BL361" s="397"/>
      <c r="BM361" s="397"/>
      <c r="BN361" s="397"/>
    </row>
    <row r="362" spans="5:66" ht="14.25">
      <c r="E362" s="397"/>
      <c r="F362" s="397"/>
      <c r="G362" s="397"/>
      <c r="H362" s="397"/>
      <c r="I362" s="397"/>
      <c r="J362" s="397"/>
      <c r="K362" s="397"/>
      <c r="L362" s="397"/>
      <c r="M362" s="397"/>
      <c r="N362" s="397"/>
      <c r="O362" s="397"/>
      <c r="P362" s="397"/>
      <c r="Q362" s="397"/>
      <c r="R362" s="397"/>
      <c r="S362" s="397"/>
      <c r="T362" s="397"/>
      <c r="U362" s="397"/>
      <c r="V362" s="397"/>
      <c r="W362" s="397"/>
      <c r="X362" s="397"/>
      <c r="Y362" s="397"/>
      <c r="Z362" s="397"/>
      <c r="AA362" s="397"/>
      <c r="AB362" s="397"/>
      <c r="AC362" s="397"/>
      <c r="AD362" s="397"/>
      <c r="AE362" s="397"/>
      <c r="AF362" s="397"/>
      <c r="AG362" s="397"/>
      <c r="AH362" s="397"/>
      <c r="AI362" s="397"/>
      <c r="AJ362" s="397"/>
      <c r="AK362" s="397"/>
      <c r="AL362" s="397"/>
      <c r="AM362" s="397"/>
      <c r="AN362" s="397"/>
      <c r="AO362" s="397"/>
      <c r="AP362" s="397"/>
      <c r="AQ362" s="397"/>
      <c r="AR362" s="397"/>
      <c r="AS362" s="397"/>
      <c r="AT362" s="397"/>
      <c r="AU362" s="397"/>
      <c r="AV362" s="397"/>
      <c r="AW362" s="397"/>
      <c r="AX362" s="397"/>
      <c r="AY362" s="397"/>
      <c r="AZ362" s="397"/>
      <c r="BA362" s="397"/>
      <c r="BB362" s="397"/>
      <c r="BC362" s="397"/>
      <c r="BD362" s="397"/>
      <c r="BE362" s="397"/>
      <c r="BF362" s="397"/>
      <c r="BG362" s="397"/>
      <c r="BH362" s="397"/>
      <c r="BI362" s="397"/>
      <c r="BJ362" s="397"/>
      <c r="BK362" s="397"/>
      <c r="BL362" s="397"/>
      <c r="BM362" s="397"/>
      <c r="BN362" s="397"/>
    </row>
    <row r="363" spans="5:66" ht="14.25">
      <c r="E363" s="397"/>
      <c r="F363" s="397"/>
      <c r="G363" s="397"/>
      <c r="H363" s="397"/>
      <c r="I363" s="397"/>
      <c r="J363" s="397"/>
      <c r="K363" s="397"/>
      <c r="L363" s="397"/>
      <c r="M363" s="397"/>
      <c r="N363" s="397"/>
      <c r="O363" s="397"/>
      <c r="P363" s="397"/>
      <c r="Q363" s="397"/>
      <c r="R363" s="397"/>
      <c r="S363" s="397"/>
      <c r="T363" s="397"/>
      <c r="U363" s="397"/>
      <c r="V363" s="397"/>
      <c r="W363" s="397"/>
      <c r="X363" s="397"/>
      <c r="Y363" s="397"/>
      <c r="Z363" s="397"/>
      <c r="AA363" s="397"/>
      <c r="AB363" s="397"/>
      <c r="AC363" s="397"/>
      <c r="AD363" s="397"/>
      <c r="AE363" s="397"/>
      <c r="AF363" s="397"/>
      <c r="AG363" s="397"/>
      <c r="AH363" s="397"/>
      <c r="AI363" s="397"/>
      <c r="AJ363" s="397"/>
      <c r="AK363" s="397"/>
      <c r="AL363" s="397"/>
      <c r="AM363" s="397"/>
      <c r="AN363" s="397"/>
      <c r="AO363" s="397"/>
      <c r="AP363" s="397"/>
      <c r="AQ363" s="397"/>
      <c r="AR363" s="397"/>
      <c r="AS363" s="397"/>
      <c r="AT363" s="397"/>
      <c r="AU363" s="397"/>
      <c r="AV363" s="397"/>
      <c r="AW363" s="397"/>
      <c r="AX363" s="397"/>
      <c r="AY363" s="397"/>
      <c r="AZ363" s="397"/>
      <c r="BA363" s="397"/>
      <c r="BB363" s="397"/>
      <c r="BC363" s="397"/>
      <c r="BD363" s="397"/>
      <c r="BE363" s="397"/>
      <c r="BF363" s="397"/>
      <c r="BG363" s="397"/>
      <c r="BH363" s="397"/>
      <c r="BI363" s="397"/>
      <c r="BJ363" s="397"/>
      <c r="BK363" s="397"/>
      <c r="BL363" s="397"/>
      <c r="BM363" s="397"/>
      <c r="BN363" s="397"/>
    </row>
    <row r="364" spans="5:66" ht="14.25">
      <c r="E364" s="397"/>
      <c r="F364" s="397"/>
      <c r="G364" s="397"/>
      <c r="H364" s="397"/>
      <c r="I364" s="397"/>
      <c r="J364" s="397"/>
      <c r="K364" s="397"/>
      <c r="L364" s="397"/>
      <c r="M364" s="397"/>
      <c r="N364" s="397"/>
      <c r="O364" s="397"/>
      <c r="P364" s="397"/>
      <c r="Q364" s="397"/>
      <c r="R364" s="397"/>
      <c r="S364" s="397"/>
      <c r="T364" s="397"/>
      <c r="U364" s="397"/>
      <c r="V364" s="397"/>
      <c r="W364" s="397"/>
      <c r="X364" s="397"/>
      <c r="Y364" s="397"/>
      <c r="Z364" s="397"/>
      <c r="AA364" s="397"/>
      <c r="AB364" s="397"/>
      <c r="AC364" s="397"/>
      <c r="AD364" s="397"/>
      <c r="AE364" s="397"/>
      <c r="AF364" s="397"/>
      <c r="AG364" s="397"/>
      <c r="AH364" s="397"/>
      <c r="AI364" s="397"/>
      <c r="AJ364" s="397"/>
      <c r="AK364" s="397"/>
      <c r="AL364" s="397"/>
      <c r="AM364" s="397"/>
      <c r="AN364" s="397"/>
      <c r="AO364" s="397"/>
      <c r="AP364" s="397"/>
      <c r="AQ364" s="397"/>
      <c r="AR364" s="397"/>
      <c r="AS364" s="397"/>
      <c r="AT364" s="397"/>
      <c r="AU364" s="397"/>
      <c r="AV364" s="397"/>
      <c r="AW364" s="397"/>
      <c r="AX364" s="397"/>
      <c r="AY364" s="397"/>
      <c r="AZ364" s="397"/>
      <c r="BA364" s="397"/>
      <c r="BB364" s="397"/>
      <c r="BC364" s="397"/>
      <c r="BD364" s="397"/>
      <c r="BE364" s="397"/>
      <c r="BF364" s="397"/>
      <c r="BG364" s="397"/>
      <c r="BH364" s="397"/>
      <c r="BI364" s="397"/>
      <c r="BJ364" s="397"/>
      <c r="BK364" s="397"/>
      <c r="BL364" s="397"/>
      <c r="BM364" s="397"/>
      <c r="BN364" s="397"/>
    </row>
    <row r="365" spans="5:66" ht="14.25">
      <c r="E365" s="397"/>
      <c r="F365" s="397"/>
      <c r="G365" s="397"/>
      <c r="H365" s="397"/>
      <c r="I365" s="397"/>
      <c r="J365" s="397"/>
      <c r="K365" s="397"/>
      <c r="L365" s="397"/>
      <c r="M365" s="397"/>
      <c r="N365" s="397"/>
      <c r="O365" s="397"/>
      <c r="P365" s="397"/>
      <c r="Q365" s="397"/>
      <c r="R365" s="397"/>
      <c r="S365" s="397"/>
      <c r="T365" s="397"/>
      <c r="U365" s="397"/>
      <c r="V365" s="397"/>
      <c r="W365" s="397"/>
      <c r="X365" s="397"/>
      <c r="Y365" s="397"/>
      <c r="Z365" s="397"/>
      <c r="AA365" s="397"/>
      <c r="AB365" s="397"/>
      <c r="AC365" s="397"/>
      <c r="AD365" s="397"/>
      <c r="AE365" s="397"/>
      <c r="AF365" s="397"/>
      <c r="AG365" s="397"/>
      <c r="AH365" s="397"/>
      <c r="AI365" s="397"/>
      <c r="AJ365" s="397"/>
      <c r="AK365" s="397"/>
      <c r="AL365" s="397"/>
      <c r="AM365" s="397"/>
      <c r="AN365" s="397"/>
      <c r="AO365" s="397"/>
      <c r="AP365" s="397"/>
      <c r="AQ365" s="397"/>
      <c r="AR365" s="397"/>
      <c r="AS365" s="397"/>
      <c r="AT365" s="397"/>
      <c r="AU365" s="397"/>
      <c r="AV365" s="397"/>
      <c r="AW365" s="397"/>
      <c r="AX365" s="397"/>
      <c r="AY365" s="397"/>
      <c r="AZ365" s="397"/>
      <c r="BA365" s="397"/>
      <c r="BB365" s="397"/>
      <c r="BC365" s="397"/>
      <c r="BD365" s="397"/>
      <c r="BE365" s="397"/>
      <c r="BF365" s="397"/>
      <c r="BG365" s="397"/>
      <c r="BH365" s="397"/>
      <c r="BI365" s="397"/>
      <c r="BJ365" s="397"/>
      <c r="BK365" s="397"/>
      <c r="BL365" s="397"/>
      <c r="BM365" s="397"/>
      <c r="BN365" s="397"/>
    </row>
    <row r="366" spans="5:66" ht="14.25">
      <c r="E366" s="397"/>
      <c r="F366" s="397"/>
      <c r="G366" s="397"/>
      <c r="H366" s="397"/>
      <c r="I366" s="397"/>
      <c r="J366" s="397"/>
      <c r="K366" s="397"/>
      <c r="L366" s="397"/>
      <c r="M366" s="397"/>
      <c r="N366" s="397"/>
      <c r="O366" s="397"/>
      <c r="P366" s="397"/>
      <c r="Q366" s="397"/>
      <c r="R366" s="397"/>
      <c r="S366" s="397"/>
      <c r="T366" s="397"/>
      <c r="U366" s="397"/>
      <c r="V366" s="397"/>
      <c r="W366" s="397"/>
      <c r="X366" s="397"/>
      <c r="Y366" s="397"/>
      <c r="Z366" s="397"/>
      <c r="AA366" s="397"/>
      <c r="AB366" s="397"/>
      <c r="AC366" s="397"/>
      <c r="AD366" s="397"/>
      <c r="AE366" s="397"/>
      <c r="AF366" s="397"/>
      <c r="AG366" s="397"/>
      <c r="AH366" s="397"/>
      <c r="AI366" s="397"/>
      <c r="AJ366" s="397"/>
      <c r="AK366" s="397"/>
      <c r="AL366" s="397"/>
      <c r="AM366" s="397"/>
      <c r="AN366" s="397"/>
      <c r="AO366" s="397"/>
      <c r="AP366" s="397"/>
      <c r="AQ366" s="397"/>
      <c r="AR366" s="397"/>
      <c r="AS366" s="397"/>
      <c r="AT366" s="397"/>
      <c r="AU366" s="397"/>
      <c r="AV366" s="397"/>
      <c r="AW366" s="397"/>
      <c r="AX366" s="397"/>
      <c r="AY366" s="397"/>
      <c r="AZ366" s="397"/>
      <c r="BA366" s="397"/>
      <c r="BB366" s="397"/>
      <c r="BC366" s="397"/>
      <c r="BD366" s="397"/>
      <c r="BE366" s="397"/>
      <c r="BF366" s="397"/>
      <c r="BG366" s="397"/>
      <c r="BH366" s="397"/>
      <c r="BI366" s="397"/>
      <c r="BJ366" s="397"/>
      <c r="BK366" s="397"/>
      <c r="BL366" s="397"/>
      <c r="BM366" s="397"/>
      <c r="BN366" s="397"/>
    </row>
    <row r="367" spans="5:66" ht="14.25">
      <c r="E367" s="397"/>
      <c r="F367" s="397"/>
      <c r="G367" s="397"/>
      <c r="H367" s="397"/>
      <c r="I367" s="397"/>
      <c r="J367" s="397"/>
      <c r="K367" s="397"/>
      <c r="L367" s="397"/>
      <c r="M367" s="397"/>
      <c r="N367" s="397"/>
      <c r="O367" s="397"/>
      <c r="P367" s="397"/>
      <c r="Q367" s="397"/>
      <c r="R367" s="397"/>
      <c r="S367" s="397"/>
      <c r="T367" s="397"/>
      <c r="U367" s="397"/>
      <c r="V367" s="397"/>
      <c r="W367" s="397"/>
      <c r="X367" s="397"/>
      <c r="Y367" s="397"/>
      <c r="Z367" s="397"/>
      <c r="AA367" s="397"/>
      <c r="AB367" s="397"/>
      <c r="AC367" s="397"/>
      <c r="AD367" s="397"/>
      <c r="AE367" s="397"/>
      <c r="AF367" s="397"/>
      <c r="AG367" s="397"/>
      <c r="AH367" s="397"/>
      <c r="AI367" s="397"/>
      <c r="AJ367" s="397"/>
      <c r="AK367" s="397"/>
      <c r="AL367" s="397"/>
      <c r="AM367" s="397"/>
      <c r="AN367" s="397"/>
      <c r="AO367" s="397"/>
      <c r="AP367" s="397"/>
      <c r="AQ367" s="397"/>
      <c r="AR367" s="397"/>
      <c r="AS367" s="397"/>
      <c r="AT367" s="397"/>
      <c r="AU367" s="397"/>
      <c r="AV367" s="397"/>
      <c r="AW367" s="397"/>
      <c r="AX367" s="397"/>
      <c r="AY367" s="397"/>
      <c r="AZ367" s="397"/>
      <c r="BA367" s="397"/>
      <c r="BB367" s="397"/>
      <c r="BC367" s="397"/>
      <c r="BD367" s="397"/>
      <c r="BE367" s="397"/>
      <c r="BF367" s="397"/>
      <c r="BG367" s="397"/>
      <c r="BH367" s="397"/>
      <c r="BI367" s="397"/>
      <c r="BJ367" s="397"/>
      <c r="BK367" s="397"/>
      <c r="BL367" s="397"/>
      <c r="BM367" s="397"/>
      <c r="BN367" s="397"/>
    </row>
    <row r="368" spans="5:66" ht="14.25">
      <c r="E368" s="397"/>
      <c r="F368" s="397"/>
      <c r="G368" s="397"/>
      <c r="H368" s="397"/>
      <c r="I368" s="397"/>
      <c r="J368" s="397"/>
      <c r="K368" s="397"/>
      <c r="L368" s="397"/>
      <c r="M368" s="397"/>
      <c r="N368" s="397"/>
      <c r="O368" s="397"/>
      <c r="P368" s="397"/>
      <c r="Q368" s="397"/>
      <c r="R368" s="397"/>
      <c r="S368" s="397"/>
      <c r="T368" s="397"/>
      <c r="U368" s="397"/>
      <c r="V368" s="397"/>
      <c r="W368" s="397"/>
      <c r="X368" s="397"/>
      <c r="Y368" s="397"/>
      <c r="Z368" s="397"/>
      <c r="AA368" s="397"/>
      <c r="AB368" s="397"/>
      <c r="AC368" s="397"/>
      <c r="AD368" s="397"/>
      <c r="AE368" s="397"/>
      <c r="AF368" s="397"/>
      <c r="AG368" s="397"/>
      <c r="AH368" s="397"/>
      <c r="AI368" s="397"/>
      <c r="AJ368" s="397"/>
      <c r="AK368" s="397"/>
      <c r="AL368" s="397"/>
      <c r="AM368" s="397"/>
      <c r="AN368" s="397"/>
      <c r="AO368" s="397"/>
      <c r="AP368" s="397"/>
      <c r="AQ368" s="397"/>
      <c r="AR368" s="397"/>
      <c r="AS368" s="397"/>
      <c r="AT368" s="397"/>
      <c r="AU368" s="397"/>
      <c r="AV368" s="397"/>
      <c r="AW368" s="397"/>
      <c r="AX368" s="397"/>
      <c r="AY368" s="397"/>
      <c r="AZ368" s="397"/>
      <c r="BA368" s="397"/>
      <c r="BB368" s="397"/>
      <c r="BC368" s="397"/>
      <c r="BD368" s="397"/>
      <c r="BE368" s="397"/>
      <c r="BF368" s="397"/>
      <c r="BG368" s="397"/>
      <c r="BH368" s="397"/>
      <c r="BI368" s="397"/>
      <c r="BJ368" s="397"/>
      <c r="BK368" s="397"/>
      <c r="BL368" s="397"/>
      <c r="BM368" s="397"/>
      <c r="BN368" s="397"/>
    </row>
    <row r="369" spans="5:66" ht="14.25">
      <c r="E369" s="397"/>
      <c r="F369" s="397"/>
      <c r="G369" s="397"/>
      <c r="H369" s="397"/>
      <c r="I369" s="397"/>
      <c r="J369" s="397"/>
      <c r="K369" s="397"/>
      <c r="L369" s="397"/>
      <c r="M369" s="397"/>
      <c r="N369" s="397"/>
      <c r="O369" s="397"/>
      <c r="P369" s="397"/>
      <c r="Q369" s="397"/>
      <c r="R369" s="397"/>
      <c r="S369" s="397"/>
      <c r="T369" s="397"/>
      <c r="U369" s="397"/>
      <c r="V369" s="397"/>
      <c r="W369" s="397"/>
      <c r="X369" s="397"/>
      <c r="Y369" s="397"/>
      <c r="Z369" s="397"/>
      <c r="AA369" s="397"/>
      <c r="AB369" s="397"/>
      <c r="AC369" s="397"/>
      <c r="AD369" s="397"/>
      <c r="AE369" s="397"/>
      <c r="AF369" s="397"/>
      <c r="AG369" s="397"/>
      <c r="AH369" s="397"/>
      <c r="AI369" s="397"/>
      <c r="AJ369" s="397"/>
      <c r="AK369" s="397"/>
      <c r="AL369" s="397"/>
      <c r="AM369" s="397"/>
      <c r="AN369" s="397"/>
      <c r="AO369" s="397"/>
      <c r="AP369" s="397"/>
      <c r="AQ369" s="397"/>
      <c r="AR369" s="397"/>
      <c r="AS369" s="397"/>
      <c r="AT369" s="397"/>
      <c r="AU369" s="397"/>
      <c r="AV369" s="397"/>
      <c r="AW369" s="397"/>
      <c r="AX369" s="397"/>
      <c r="AY369" s="397"/>
      <c r="AZ369" s="397"/>
      <c r="BA369" s="397"/>
      <c r="BB369" s="397"/>
      <c r="BC369" s="397"/>
      <c r="BD369" s="397"/>
      <c r="BE369" s="397"/>
      <c r="BF369" s="397"/>
      <c r="BG369" s="397"/>
      <c r="BH369" s="397"/>
      <c r="BI369" s="397"/>
      <c r="BJ369" s="397"/>
      <c r="BK369" s="397"/>
      <c r="BL369" s="397"/>
      <c r="BM369" s="397"/>
      <c r="BN369" s="397"/>
    </row>
    <row r="370" spans="5:66" ht="14.25">
      <c r="E370" s="397"/>
      <c r="F370" s="397"/>
      <c r="G370" s="397"/>
      <c r="H370" s="397"/>
      <c r="I370" s="397"/>
      <c r="J370" s="397"/>
      <c r="K370" s="397"/>
      <c r="L370" s="397"/>
      <c r="M370" s="397"/>
      <c r="N370" s="397"/>
      <c r="O370" s="397"/>
      <c r="P370" s="397"/>
      <c r="Q370" s="397"/>
      <c r="R370" s="397"/>
      <c r="S370" s="397"/>
      <c r="T370" s="397"/>
      <c r="U370" s="397"/>
      <c r="V370" s="397"/>
      <c r="W370" s="397"/>
      <c r="X370" s="397"/>
      <c r="Y370" s="397"/>
      <c r="Z370" s="397"/>
      <c r="AA370" s="397"/>
      <c r="AB370" s="397"/>
      <c r="AC370" s="397"/>
      <c r="AD370" s="397"/>
      <c r="AE370" s="397"/>
      <c r="AF370" s="397"/>
      <c r="AG370" s="397"/>
      <c r="AH370" s="397"/>
      <c r="AI370" s="397"/>
      <c r="AJ370" s="397"/>
      <c r="AK370" s="397"/>
      <c r="AL370" s="397"/>
      <c r="AM370" s="397"/>
      <c r="AN370" s="397"/>
      <c r="AO370" s="397"/>
      <c r="AP370" s="397"/>
      <c r="AQ370" s="397"/>
      <c r="AR370" s="397"/>
      <c r="AS370" s="397"/>
      <c r="AT370" s="397"/>
      <c r="AU370" s="397"/>
      <c r="AV370" s="397"/>
      <c r="AW370" s="397"/>
      <c r="AX370" s="397"/>
      <c r="AY370" s="397"/>
      <c r="AZ370" s="397"/>
      <c r="BA370" s="397"/>
      <c r="BB370" s="397"/>
      <c r="BC370" s="397"/>
      <c r="BD370" s="397"/>
      <c r="BE370" s="397"/>
      <c r="BF370" s="397"/>
      <c r="BG370" s="397"/>
      <c r="BH370" s="397"/>
      <c r="BI370" s="397"/>
      <c r="BJ370" s="397"/>
      <c r="BK370" s="397"/>
      <c r="BL370" s="397"/>
      <c r="BM370" s="397"/>
      <c r="BN370" s="397"/>
    </row>
    <row r="371" spans="5:66" ht="14.25">
      <c r="E371" s="397"/>
      <c r="F371" s="397"/>
      <c r="G371" s="397"/>
      <c r="H371" s="397"/>
      <c r="I371" s="397"/>
      <c r="J371" s="397"/>
      <c r="K371" s="397"/>
      <c r="L371" s="397"/>
      <c r="M371" s="397"/>
      <c r="N371" s="397"/>
      <c r="O371" s="397"/>
      <c r="P371" s="397"/>
      <c r="Q371" s="397"/>
      <c r="R371" s="397"/>
      <c r="S371" s="397"/>
      <c r="T371" s="397"/>
      <c r="U371" s="397"/>
      <c r="V371" s="397"/>
      <c r="W371" s="397"/>
      <c r="X371" s="397"/>
      <c r="Y371" s="397"/>
      <c r="Z371" s="397"/>
      <c r="AA371" s="397"/>
      <c r="AB371" s="397"/>
      <c r="AC371" s="397"/>
      <c r="AD371" s="397"/>
      <c r="AE371" s="397"/>
      <c r="AF371" s="397"/>
      <c r="AG371" s="397"/>
      <c r="AH371" s="397"/>
      <c r="AI371" s="397"/>
      <c r="AJ371" s="397"/>
      <c r="AK371" s="397"/>
      <c r="AL371" s="397"/>
      <c r="AM371" s="397"/>
      <c r="AN371" s="397"/>
      <c r="AO371" s="397"/>
      <c r="AP371" s="397"/>
      <c r="AQ371" s="397"/>
      <c r="AR371" s="397"/>
      <c r="AS371" s="397"/>
      <c r="AT371" s="397"/>
      <c r="AU371" s="397"/>
      <c r="AV371" s="397"/>
      <c r="AW371" s="397"/>
      <c r="AX371" s="397"/>
      <c r="AY371" s="397"/>
      <c r="AZ371" s="397"/>
      <c r="BA371" s="397"/>
      <c r="BB371" s="397"/>
      <c r="BC371" s="397"/>
      <c r="BD371" s="397"/>
      <c r="BE371" s="397"/>
      <c r="BF371" s="397"/>
      <c r="BG371" s="397"/>
      <c r="BH371" s="397"/>
      <c r="BI371" s="397"/>
      <c r="BJ371" s="397"/>
      <c r="BK371" s="397"/>
      <c r="BL371" s="397"/>
      <c r="BM371" s="397"/>
      <c r="BN371" s="397"/>
    </row>
    <row r="372" spans="5:66" ht="14.25">
      <c r="E372" s="397"/>
      <c r="F372" s="397"/>
      <c r="G372" s="397"/>
      <c r="H372" s="397"/>
      <c r="I372" s="397"/>
      <c r="J372" s="397"/>
      <c r="K372" s="397"/>
      <c r="L372" s="397"/>
      <c r="M372" s="397"/>
      <c r="N372" s="397"/>
      <c r="O372" s="397"/>
      <c r="P372" s="397"/>
      <c r="Q372" s="397"/>
      <c r="R372" s="397"/>
      <c r="S372" s="397"/>
      <c r="T372" s="397"/>
      <c r="U372" s="397"/>
      <c r="V372" s="397"/>
      <c r="W372" s="397"/>
      <c r="X372" s="397"/>
      <c r="Y372" s="397"/>
      <c r="Z372" s="397"/>
      <c r="AA372" s="397"/>
      <c r="AB372" s="397"/>
      <c r="AC372" s="397"/>
      <c r="AD372" s="397"/>
      <c r="AE372" s="397"/>
      <c r="AF372" s="397"/>
      <c r="AG372" s="397"/>
      <c r="AH372" s="397"/>
      <c r="AI372" s="397"/>
      <c r="AJ372" s="397"/>
      <c r="AK372" s="397"/>
      <c r="AL372" s="397"/>
      <c r="AM372" s="397"/>
      <c r="AN372" s="397"/>
      <c r="AO372" s="397"/>
      <c r="AP372" s="397"/>
      <c r="AQ372" s="397"/>
      <c r="AR372" s="397"/>
      <c r="AS372" s="397"/>
      <c r="AT372" s="397"/>
      <c r="AU372" s="397"/>
      <c r="AV372" s="397"/>
      <c r="AW372" s="397"/>
      <c r="AX372" s="397"/>
      <c r="AY372" s="397"/>
      <c r="AZ372" s="397"/>
      <c r="BA372" s="397"/>
      <c r="BB372" s="397"/>
      <c r="BC372" s="397"/>
      <c r="BD372" s="397"/>
      <c r="BE372" s="397"/>
      <c r="BF372" s="397"/>
      <c r="BG372" s="397"/>
      <c r="BH372" s="397"/>
      <c r="BI372" s="397"/>
      <c r="BJ372" s="397"/>
      <c r="BK372" s="397"/>
      <c r="BL372" s="397"/>
      <c r="BM372" s="397"/>
      <c r="BN372" s="397"/>
    </row>
    <row r="373" spans="5:66" ht="14.25">
      <c r="E373" s="397"/>
      <c r="F373" s="397"/>
      <c r="G373" s="397"/>
      <c r="H373" s="397"/>
      <c r="I373" s="397"/>
      <c r="J373" s="397"/>
      <c r="K373" s="397"/>
      <c r="L373" s="397"/>
      <c r="M373" s="397"/>
      <c r="N373" s="397"/>
      <c r="O373" s="397"/>
      <c r="P373" s="397"/>
      <c r="Q373" s="397"/>
      <c r="R373" s="397"/>
      <c r="S373" s="397"/>
      <c r="T373" s="397"/>
      <c r="U373" s="397"/>
      <c r="V373" s="397"/>
      <c r="W373" s="397"/>
      <c r="X373" s="397"/>
      <c r="Y373" s="397"/>
      <c r="Z373" s="397"/>
      <c r="AA373" s="397"/>
      <c r="AB373" s="397"/>
      <c r="AC373" s="397"/>
      <c r="AD373" s="397"/>
      <c r="AE373" s="397"/>
      <c r="AF373" s="397"/>
      <c r="AG373" s="397"/>
      <c r="AH373" s="397"/>
      <c r="AI373" s="397"/>
      <c r="AJ373" s="397"/>
      <c r="AK373" s="397"/>
      <c r="AL373" s="397"/>
      <c r="AM373" s="397"/>
      <c r="AN373" s="397"/>
      <c r="AO373" s="397"/>
      <c r="AP373" s="397"/>
      <c r="AQ373" s="397"/>
      <c r="AR373" s="397"/>
      <c r="AS373" s="397"/>
      <c r="AT373" s="397"/>
      <c r="AU373" s="397"/>
      <c r="AV373" s="397"/>
      <c r="AW373" s="397"/>
      <c r="AX373" s="397"/>
      <c r="AY373" s="397"/>
      <c r="AZ373" s="397"/>
      <c r="BA373" s="397"/>
      <c r="BB373" s="397"/>
      <c r="BC373" s="397"/>
      <c r="BD373" s="397"/>
      <c r="BE373" s="397"/>
      <c r="BF373" s="397"/>
      <c r="BG373" s="397"/>
      <c r="BH373" s="397"/>
      <c r="BI373" s="397"/>
      <c r="BJ373" s="397"/>
      <c r="BK373" s="397"/>
      <c r="BL373" s="397"/>
      <c r="BM373" s="397"/>
      <c r="BN373" s="397"/>
    </row>
    <row r="374" spans="5:66" ht="14.25">
      <c r="E374" s="397"/>
      <c r="F374" s="397"/>
      <c r="G374" s="397"/>
      <c r="H374" s="397"/>
      <c r="I374" s="397"/>
      <c r="J374" s="397"/>
      <c r="K374" s="397"/>
      <c r="L374" s="397"/>
      <c r="M374" s="397"/>
      <c r="N374" s="397"/>
      <c r="O374" s="397"/>
      <c r="P374" s="397"/>
      <c r="Q374" s="397"/>
      <c r="R374" s="397"/>
      <c r="S374" s="397"/>
      <c r="T374" s="397"/>
      <c r="U374" s="397"/>
      <c r="V374" s="397"/>
      <c r="W374" s="397"/>
      <c r="X374" s="397"/>
      <c r="Y374" s="397"/>
      <c r="Z374" s="397"/>
      <c r="AA374" s="397"/>
      <c r="AB374" s="397"/>
      <c r="AC374" s="397"/>
      <c r="AD374" s="397"/>
      <c r="AE374" s="397"/>
      <c r="AF374" s="397"/>
      <c r="AG374" s="397"/>
      <c r="AH374" s="397"/>
      <c r="AI374" s="397"/>
      <c r="AJ374" s="397"/>
      <c r="AK374" s="397"/>
      <c r="AL374" s="397"/>
      <c r="AM374" s="397"/>
      <c r="AN374" s="397"/>
      <c r="AO374" s="397"/>
      <c r="AP374" s="397"/>
      <c r="AQ374" s="397"/>
      <c r="AR374" s="397"/>
      <c r="AS374" s="397"/>
      <c r="AT374" s="397"/>
      <c r="AU374" s="397"/>
      <c r="AV374" s="397"/>
      <c r="AW374" s="397"/>
      <c r="AX374" s="397"/>
      <c r="AY374" s="397"/>
      <c r="AZ374" s="397"/>
      <c r="BA374" s="397"/>
      <c r="BB374" s="397"/>
      <c r="BC374" s="397"/>
      <c r="BD374" s="397"/>
      <c r="BE374" s="397"/>
      <c r="BF374" s="397"/>
      <c r="BG374" s="397"/>
      <c r="BH374" s="397"/>
      <c r="BI374" s="397"/>
      <c r="BJ374" s="397"/>
      <c r="BK374" s="397"/>
      <c r="BL374" s="397"/>
      <c r="BM374" s="397"/>
      <c r="BN374" s="397"/>
    </row>
    <row r="375" spans="5:66" ht="14.25">
      <c r="E375" s="397"/>
      <c r="F375" s="397"/>
      <c r="G375" s="397"/>
      <c r="H375" s="397"/>
      <c r="I375" s="397"/>
      <c r="J375" s="397"/>
      <c r="K375" s="397"/>
      <c r="L375" s="397"/>
      <c r="M375" s="397"/>
      <c r="N375" s="397"/>
      <c r="O375" s="397"/>
      <c r="P375" s="397"/>
      <c r="Q375" s="397"/>
      <c r="R375" s="397"/>
      <c r="S375" s="397"/>
      <c r="T375" s="397"/>
      <c r="U375" s="397"/>
      <c r="V375" s="397"/>
      <c r="W375" s="397"/>
      <c r="X375" s="397"/>
      <c r="Y375" s="397"/>
      <c r="Z375" s="397"/>
      <c r="AA375" s="397"/>
      <c r="AB375" s="397"/>
      <c r="AC375" s="397"/>
      <c r="AD375" s="397"/>
      <c r="AE375" s="397"/>
      <c r="AF375" s="397"/>
      <c r="AG375" s="397"/>
      <c r="AH375" s="397"/>
      <c r="AI375" s="397"/>
      <c r="AJ375" s="397"/>
      <c r="AK375" s="397"/>
      <c r="AL375" s="397"/>
      <c r="AM375" s="397"/>
      <c r="AN375" s="397"/>
      <c r="AO375" s="397"/>
      <c r="AP375" s="397"/>
      <c r="AQ375" s="397"/>
      <c r="AR375" s="397"/>
      <c r="AS375" s="397"/>
      <c r="AT375" s="397"/>
      <c r="AU375" s="397"/>
      <c r="AV375" s="397"/>
      <c r="AW375" s="397"/>
      <c r="AX375" s="397"/>
      <c r="AY375" s="397"/>
      <c r="AZ375" s="397"/>
      <c r="BA375" s="397"/>
      <c r="BB375" s="397"/>
      <c r="BC375" s="397"/>
      <c r="BD375" s="397"/>
      <c r="BE375" s="397"/>
      <c r="BF375" s="397"/>
      <c r="BG375" s="397"/>
      <c r="BH375" s="397"/>
      <c r="BI375" s="397"/>
      <c r="BJ375" s="397"/>
      <c r="BK375" s="397"/>
      <c r="BL375" s="397"/>
      <c r="BM375" s="397"/>
      <c r="BN375" s="397"/>
    </row>
    <row r="376" spans="5:66" ht="14.25">
      <c r="E376" s="397"/>
      <c r="F376" s="397"/>
      <c r="G376" s="397"/>
      <c r="H376" s="397"/>
      <c r="I376" s="397"/>
      <c r="J376" s="397"/>
      <c r="K376" s="397"/>
      <c r="L376" s="397"/>
      <c r="M376" s="397"/>
      <c r="N376" s="397"/>
      <c r="O376" s="397"/>
      <c r="P376" s="397"/>
      <c r="Q376" s="397"/>
      <c r="R376" s="397"/>
      <c r="S376" s="397"/>
      <c r="T376" s="397"/>
      <c r="U376" s="397"/>
      <c r="V376" s="397"/>
      <c r="W376" s="397"/>
      <c r="X376" s="397"/>
      <c r="Y376" s="397"/>
      <c r="Z376" s="397"/>
      <c r="AA376" s="397"/>
      <c r="AB376" s="397"/>
      <c r="AC376" s="397"/>
      <c r="AD376" s="397"/>
      <c r="AE376" s="397"/>
      <c r="AF376" s="397"/>
      <c r="AG376" s="397"/>
      <c r="AH376" s="397"/>
      <c r="AI376" s="397"/>
      <c r="AJ376" s="397"/>
      <c r="AK376" s="397"/>
      <c r="AL376" s="397"/>
      <c r="AM376" s="397"/>
      <c r="AN376" s="397"/>
      <c r="AO376" s="397"/>
      <c r="AP376" s="397"/>
      <c r="AQ376" s="397"/>
      <c r="AR376" s="397"/>
      <c r="AS376" s="397"/>
      <c r="AT376" s="397"/>
      <c r="AU376" s="397"/>
      <c r="AV376" s="397"/>
      <c r="AW376" s="397"/>
      <c r="AX376" s="397"/>
      <c r="AY376" s="397"/>
      <c r="AZ376" s="397"/>
      <c r="BA376" s="397"/>
      <c r="BB376" s="397"/>
      <c r="BC376" s="397"/>
      <c r="BD376" s="397"/>
      <c r="BE376" s="397"/>
      <c r="BF376" s="397"/>
      <c r="BG376" s="397"/>
      <c r="BH376" s="397"/>
      <c r="BI376" s="397"/>
      <c r="BJ376" s="397"/>
      <c r="BK376" s="397"/>
      <c r="BL376" s="397"/>
      <c r="BM376" s="397"/>
      <c r="BN376" s="397"/>
    </row>
    <row r="377" spans="5:66" ht="14.25">
      <c r="E377" s="397"/>
      <c r="F377" s="397"/>
      <c r="G377" s="397"/>
      <c r="H377" s="397"/>
      <c r="I377" s="397"/>
      <c r="J377" s="397"/>
      <c r="K377" s="397"/>
      <c r="L377" s="397"/>
      <c r="M377" s="397"/>
      <c r="N377" s="397"/>
      <c r="O377" s="397"/>
      <c r="P377" s="397"/>
      <c r="Q377" s="397"/>
      <c r="R377" s="397"/>
      <c r="S377" s="397"/>
      <c r="T377" s="397"/>
      <c r="U377" s="397"/>
      <c r="V377" s="397"/>
      <c r="W377" s="397"/>
      <c r="X377" s="397"/>
      <c r="Y377" s="397"/>
      <c r="Z377" s="397"/>
      <c r="AA377" s="397"/>
      <c r="AB377" s="397"/>
      <c r="AC377" s="397"/>
      <c r="AD377" s="397"/>
      <c r="AE377" s="397"/>
      <c r="AF377" s="397"/>
      <c r="AG377" s="397"/>
      <c r="AH377" s="397"/>
      <c r="AI377" s="397"/>
      <c r="AJ377" s="397"/>
      <c r="AK377" s="397"/>
      <c r="AL377" s="397"/>
      <c r="AM377" s="397"/>
      <c r="AN377" s="397"/>
      <c r="AO377" s="397"/>
      <c r="AP377" s="397"/>
      <c r="AQ377" s="397"/>
      <c r="AR377" s="397"/>
      <c r="AS377" s="397"/>
      <c r="AT377" s="397"/>
      <c r="AU377" s="397"/>
      <c r="AV377" s="397"/>
      <c r="AW377" s="397"/>
      <c r="AX377" s="397"/>
      <c r="AY377" s="397"/>
      <c r="AZ377" s="397"/>
      <c r="BA377" s="397"/>
      <c r="BB377" s="397"/>
      <c r="BC377" s="397"/>
      <c r="BD377" s="397"/>
      <c r="BE377" s="397"/>
      <c r="BF377" s="397"/>
      <c r="BG377" s="397"/>
      <c r="BH377" s="397"/>
      <c r="BI377" s="397"/>
      <c r="BJ377" s="397"/>
      <c r="BK377" s="397"/>
      <c r="BL377" s="397"/>
      <c r="BM377" s="397"/>
      <c r="BN377" s="397"/>
    </row>
    <row r="378" spans="5:66" ht="14.25">
      <c r="E378" s="397"/>
      <c r="F378" s="397"/>
      <c r="G378" s="397"/>
      <c r="H378" s="397"/>
      <c r="I378" s="397"/>
      <c r="J378" s="397"/>
      <c r="K378" s="397"/>
      <c r="L378" s="397"/>
      <c r="M378" s="397"/>
      <c r="N378" s="397"/>
      <c r="O378" s="397"/>
      <c r="P378" s="397"/>
      <c r="Q378" s="397"/>
      <c r="R378" s="397"/>
      <c r="S378" s="397"/>
      <c r="T378" s="397"/>
      <c r="U378" s="397"/>
      <c r="V378" s="397"/>
      <c r="W378" s="397"/>
      <c r="X378" s="397"/>
      <c r="Y378" s="397"/>
      <c r="Z378" s="397"/>
      <c r="AA378" s="397"/>
      <c r="AB378" s="397"/>
      <c r="AC378" s="397"/>
      <c r="AD378" s="397"/>
      <c r="AE378" s="397"/>
      <c r="AF378" s="397"/>
      <c r="AG378" s="397"/>
      <c r="AH378" s="397"/>
      <c r="AI378" s="397"/>
      <c r="AJ378" s="397"/>
      <c r="AK378" s="397"/>
      <c r="AL378" s="397"/>
      <c r="AM378" s="397"/>
      <c r="AN378" s="397"/>
      <c r="AO378" s="397"/>
      <c r="AP378" s="397"/>
      <c r="AQ378" s="397"/>
      <c r="AR378" s="397"/>
      <c r="AS378" s="397"/>
      <c r="AT378" s="397"/>
      <c r="AU378" s="397"/>
      <c r="AV378" s="397"/>
      <c r="AW378" s="397"/>
      <c r="AX378" s="397"/>
      <c r="AY378" s="397"/>
      <c r="AZ378" s="397"/>
      <c r="BA378" s="397"/>
      <c r="BB378" s="397"/>
      <c r="BC378" s="397"/>
      <c r="BD378" s="397"/>
      <c r="BE378" s="397"/>
      <c r="BF378" s="397"/>
      <c r="BG378" s="397"/>
      <c r="BH378" s="397"/>
      <c r="BI378" s="397"/>
      <c r="BJ378" s="397"/>
      <c r="BK378" s="397"/>
      <c r="BL378" s="397"/>
      <c r="BM378" s="397"/>
      <c r="BN378" s="397"/>
    </row>
    <row r="379" spans="5:66" ht="14.25">
      <c r="E379" s="397"/>
      <c r="F379" s="397"/>
      <c r="G379" s="397"/>
      <c r="H379" s="397"/>
      <c r="I379" s="397"/>
      <c r="J379" s="397"/>
      <c r="K379" s="397"/>
      <c r="L379" s="397"/>
      <c r="M379" s="397"/>
      <c r="N379" s="397"/>
      <c r="O379" s="397"/>
      <c r="P379" s="397"/>
      <c r="Q379" s="397"/>
      <c r="R379" s="397"/>
      <c r="S379" s="397"/>
      <c r="T379" s="397"/>
      <c r="U379" s="397"/>
      <c r="V379" s="397"/>
      <c r="W379" s="397"/>
      <c r="X379" s="397"/>
      <c r="Y379" s="397"/>
      <c r="Z379" s="397"/>
      <c r="AA379" s="397"/>
      <c r="AB379" s="397"/>
      <c r="AC379" s="397"/>
      <c r="AD379" s="397"/>
      <c r="AE379" s="397"/>
      <c r="AF379" s="397"/>
      <c r="AG379" s="397"/>
      <c r="AH379" s="397"/>
      <c r="AI379" s="397"/>
      <c r="AJ379" s="397"/>
      <c r="AK379" s="397"/>
      <c r="AL379" s="397"/>
      <c r="AM379" s="397"/>
      <c r="AN379" s="397"/>
      <c r="AO379" s="397"/>
      <c r="AP379" s="397"/>
      <c r="AQ379" s="397"/>
      <c r="AR379" s="397"/>
      <c r="AS379" s="397"/>
      <c r="AT379" s="397"/>
      <c r="AU379" s="397"/>
      <c r="AV379" s="397"/>
      <c r="AW379" s="397"/>
      <c r="AX379" s="397"/>
      <c r="AY379" s="397"/>
      <c r="AZ379" s="397"/>
      <c r="BA379" s="397"/>
      <c r="BB379" s="397"/>
      <c r="BC379" s="397"/>
      <c r="BD379" s="397"/>
      <c r="BE379" s="397"/>
      <c r="BF379" s="397"/>
      <c r="BG379" s="397"/>
      <c r="BH379" s="397"/>
      <c r="BI379" s="397"/>
      <c r="BJ379" s="397"/>
      <c r="BK379" s="397"/>
      <c r="BL379" s="397"/>
      <c r="BM379" s="397"/>
      <c r="BN379" s="397"/>
    </row>
    <row r="380" spans="5:66" ht="14.25">
      <c r="E380" s="397"/>
      <c r="F380" s="397"/>
      <c r="G380" s="397"/>
      <c r="H380" s="397"/>
      <c r="I380" s="397"/>
      <c r="J380" s="397"/>
      <c r="K380" s="397"/>
      <c r="L380" s="397"/>
      <c r="M380" s="397"/>
      <c r="N380" s="397"/>
      <c r="O380" s="397"/>
      <c r="P380" s="397"/>
      <c r="Q380" s="397"/>
      <c r="R380" s="397"/>
      <c r="S380" s="397"/>
      <c r="T380" s="397"/>
      <c r="U380" s="397"/>
      <c r="V380" s="397"/>
      <c r="W380" s="397"/>
      <c r="X380" s="397"/>
      <c r="Y380" s="397"/>
      <c r="Z380" s="397"/>
      <c r="AA380" s="397"/>
      <c r="AB380" s="397"/>
      <c r="AC380" s="397"/>
      <c r="AD380" s="397"/>
      <c r="AE380" s="397"/>
      <c r="AF380" s="397"/>
      <c r="AG380" s="397"/>
      <c r="AH380" s="397"/>
      <c r="AI380" s="397"/>
      <c r="AJ380" s="397"/>
      <c r="AK380" s="397"/>
      <c r="AL380" s="397"/>
      <c r="AM380" s="397"/>
      <c r="AN380" s="397"/>
      <c r="AO380" s="397"/>
      <c r="AP380" s="397"/>
      <c r="AQ380" s="397"/>
      <c r="AR380" s="397"/>
      <c r="AS380" s="397"/>
      <c r="AT380" s="397"/>
      <c r="AU380" s="397"/>
      <c r="AV380" s="397"/>
      <c r="AW380" s="397"/>
      <c r="AX380" s="397"/>
      <c r="AY380" s="397"/>
      <c r="AZ380" s="397"/>
      <c r="BA380" s="397"/>
      <c r="BB380" s="397"/>
      <c r="BC380" s="397"/>
      <c r="BD380" s="397"/>
      <c r="BE380" s="397"/>
      <c r="BF380" s="397"/>
      <c r="BG380" s="397"/>
      <c r="BH380" s="397"/>
      <c r="BI380" s="397"/>
      <c r="BJ380" s="397"/>
      <c r="BK380" s="397"/>
      <c r="BL380" s="397"/>
      <c r="BM380" s="397"/>
      <c r="BN380" s="397"/>
    </row>
    <row r="381" spans="5:66" ht="14.25">
      <c r="E381" s="397"/>
      <c r="F381" s="397"/>
      <c r="G381" s="397"/>
      <c r="H381" s="397"/>
      <c r="I381" s="397"/>
      <c r="J381" s="397"/>
      <c r="K381" s="397"/>
      <c r="L381" s="397"/>
      <c r="M381" s="397"/>
      <c r="N381" s="397"/>
      <c r="O381" s="397"/>
      <c r="P381" s="397"/>
      <c r="Q381" s="397"/>
      <c r="R381" s="397"/>
      <c r="S381" s="397"/>
      <c r="T381" s="397"/>
      <c r="U381" s="397"/>
      <c r="V381" s="397"/>
      <c r="W381" s="397"/>
      <c r="X381" s="397"/>
      <c r="Y381" s="397"/>
      <c r="Z381" s="397"/>
      <c r="AA381" s="397"/>
      <c r="AB381" s="397"/>
      <c r="AC381" s="397"/>
      <c r="AD381" s="397"/>
      <c r="AE381" s="397"/>
      <c r="AF381" s="397"/>
      <c r="AG381" s="397"/>
      <c r="AH381" s="397"/>
      <c r="AI381" s="397"/>
      <c r="AJ381" s="397"/>
      <c r="AK381" s="397"/>
      <c r="AL381" s="397"/>
      <c r="AM381" s="397"/>
      <c r="AN381" s="397"/>
      <c r="AO381" s="397"/>
      <c r="AP381" s="397"/>
      <c r="AQ381" s="397"/>
      <c r="AR381" s="397"/>
      <c r="AS381" s="397"/>
      <c r="AT381" s="397"/>
      <c r="AU381" s="397"/>
      <c r="AV381" s="397"/>
      <c r="AW381" s="397"/>
      <c r="AX381" s="397"/>
      <c r="AY381" s="397"/>
      <c r="AZ381" s="397"/>
      <c r="BA381" s="397"/>
      <c r="BB381" s="397"/>
      <c r="BC381" s="397"/>
      <c r="BD381" s="397"/>
      <c r="BE381" s="397"/>
      <c r="BF381" s="397"/>
      <c r="BG381" s="397"/>
      <c r="BH381" s="397"/>
      <c r="BI381" s="397"/>
      <c r="BJ381" s="397"/>
      <c r="BK381" s="397"/>
      <c r="BL381" s="397"/>
      <c r="BM381" s="397"/>
      <c r="BN381" s="397"/>
    </row>
    <row r="382" spans="5:66" ht="14.25">
      <c r="E382" s="397"/>
      <c r="F382" s="397"/>
      <c r="G382" s="397"/>
      <c r="H382" s="397"/>
      <c r="I382" s="397"/>
      <c r="J382" s="397"/>
      <c r="K382" s="397"/>
      <c r="L382" s="397"/>
      <c r="M382" s="397"/>
      <c r="N382" s="397"/>
      <c r="O382" s="397"/>
      <c r="P382" s="397"/>
      <c r="Q382" s="397"/>
      <c r="R382" s="397"/>
      <c r="S382" s="397"/>
      <c r="T382" s="397"/>
      <c r="U382" s="397"/>
      <c r="V382" s="397"/>
      <c r="W382" s="397"/>
      <c r="X382" s="397"/>
      <c r="Y382" s="397"/>
      <c r="Z382" s="397"/>
      <c r="AA382" s="397"/>
      <c r="AB382" s="397"/>
      <c r="AC382" s="397"/>
      <c r="AD382" s="397"/>
      <c r="AE382" s="397"/>
      <c r="AF382" s="397"/>
      <c r="AG382" s="397"/>
      <c r="AH382" s="397"/>
      <c r="AI382" s="397"/>
      <c r="AJ382" s="397"/>
      <c r="AK382" s="397"/>
      <c r="AL382" s="397"/>
      <c r="AM382" s="397"/>
      <c r="AN382" s="397"/>
      <c r="AO382" s="397"/>
      <c r="AP382" s="397"/>
      <c r="AQ382" s="397"/>
      <c r="AR382" s="397"/>
      <c r="AS382" s="397"/>
      <c r="AT382" s="397"/>
      <c r="AU382" s="397"/>
      <c r="AV382" s="397"/>
      <c r="AW382" s="397"/>
      <c r="AX382" s="397"/>
      <c r="AY382" s="397"/>
      <c r="AZ382" s="397"/>
      <c r="BA382" s="397"/>
      <c r="BB382" s="397"/>
      <c r="BC382" s="397"/>
      <c r="BD382" s="397"/>
      <c r="BE382" s="397"/>
      <c r="BF382" s="397"/>
      <c r="BG382" s="397"/>
      <c r="BH382" s="397"/>
      <c r="BI382" s="397"/>
      <c r="BJ382" s="397"/>
      <c r="BK382" s="397"/>
      <c r="BL382" s="397"/>
      <c r="BM382" s="397"/>
      <c r="BN382" s="397"/>
    </row>
    <row r="383" spans="5:66" ht="14.25">
      <c r="E383" s="397"/>
      <c r="F383" s="397"/>
      <c r="G383" s="397"/>
      <c r="H383" s="397"/>
      <c r="I383" s="397"/>
      <c r="J383" s="397"/>
      <c r="K383" s="397"/>
      <c r="L383" s="397"/>
      <c r="M383" s="397"/>
      <c r="N383" s="397"/>
      <c r="O383" s="397"/>
      <c r="P383" s="397"/>
      <c r="Q383" s="397"/>
      <c r="R383" s="397"/>
      <c r="S383" s="397"/>
      <c r="T383" s="397"/>
      <c r="U383" s="397"/>
      <c r="V383" s="397"/>
      <c r="W383" s="397"/>
      <c r="X383" s="397"/>
      <c r="Y383" s="397"/>
      <c r="Z383" s="397"/>
      <c r="AA383" s="397"/>
      <c r="AB383" s="397"/>
      <c r="AC383" s="397"/>
      <c r="AD383" s="397"/>
      <c r="AE383" s="397"/>
      <c r="AF383" s="397"/>
      <c r="AG383" s="397"/>
      <c r="AH383" s="397"/>
      <c r="AI383" s="397"/>
      <c r="AJ383" s="397"/>
      <c r="AK383" s="397"/>
      <c r="AL383" s="397"/>
      <c r="AM383" s="397"/>
      <c r="AN383" s="397"/>
      <c r="AO383" s="397"/>
      <c r="AP383" s="397"/>
      <c r="AQ383" s="397"/>
      <c r="AR383" s="397"/>
      <c r="AS383" s="397"/>
      <c r="AT383" s="397"/>
      <c r="AU383" s="397"/>
      <c r="AV383" s="397"/>
      <c r="AW383" s="397"/>
      <c r="AX383" s="397"/>
      <c r="AY383" s="397"/>
      <c r="AZ383" s="397"/>
      <c r="BA383" s="397"/>
      <c r="BB383" s="397"/>
      <c r="BC383" s="397"/>
      <c r="BD383" s="397"/>
      <c r="BE383" s="397"/>
      <c r="BF383" s="397"/>
      <c r="BG383" s="397"/>
      <c r="BH383" s="397"/>
      <c r="BI383" s="397"/>
      <c r="BJ383" s="397"/>
      <c r="BK383" s="397"/>
      <c r="BL383" s="397"/>
      <c r="BM383" s="397"/>
      <c r="BN383" s="397"/>
    </row>
    <row r="384" spans="5:66" ht="14.25">
      <c r="E384" s="397"/>
      <c r="F384" s="397"/>
      <c r="G384" s="397"/>
      <c r="H384" s="397"/>
      <c r="I384" s="397"/>
      <c r="J384" s="397"/>
      <c r="K384" s="397"/>
      <c r="L384" s="397"/>
      <c r="M384" s="397"/>
      <c r="N384" s="397"/>
      <c r="O384" s="397"/>
      <c r="P384" s="397"/>
      <c r="Q384" s="397"/>
      <c r="R384" s="397"/>
      <c r="S384" s="397"/>
      <c r="T384" s="397"/>
      <c r="U384" s="397"/>
      <c r="V384" s="397"/>
      <c r="W384" s="397"/>
      <c r="X384" s="397"/>
      <c r="Y384" s="397"/>
      <c r="Z384" s="397"/>
      <c r="AA384" s="397"/>
      <c r="AB384" s="397"/>
      <c r="AC384" s="397"/>
      <c r="AD384" s="397"/>
      <c r="AE384" s="397"/>
      <c r="AF384" s="397"/>
      <c r="AG384" s="397"/>
      <c r="AH384" s="397"/>
      <c r="AI384" s="397"/>
      <c r="AJ384" s="397"/>
      <c r="AK384" s="397"/>
      <c r="AL384" s="397"/>
      <c r="AM384" s="397"/>
      <c r="AN384" s="397"/>
      <c r="AO384" s="397"/>
      <c r="AP384" s="397"/>
      <c r="AQ384" s="397"/>
      <c r="AR384" s="397"/>
      <c r="AS384" s="397"/>
      <c r="AT384" s="397"/>
      <c r="AU384" s="397"/>
      <c r="AV384" s="397"/>
      <c r="AW384" s="397"/>
      <c r="AX384" s="397"/>
      <c r="AY384" s="397"/>
      <c r="AZ384" s="397"/>
      <c r="BA384" s="397"/>
      <c r="BB384" s="397"/>
      <c r="BC384" s="397"/>
      <c r="BD384" s="397"/>
      <c r="BE384" s="397"/>
      <c r="BF384" s="397"/>
      <c r="BG384" s="397"/>
      <c r="BH384" s="397"/>
      <c r="BI384" s="397"/>
      <c r="BJ384" s="397"/>
      <c r="BK384" s="397"/>
      <c r="BL384" s="397"/>
      <c r="BM384" s="397"/>
      <c r="BN384" s="397"/>
    </row>
    <row r="385" spans="5:66" ht="14.25">
      <c r="E385" s="397"/>
      <c r="F385" s="397"/>
      <c r="G385" s="397"/>
      <c r="H385" s="397"/>
      <c r="I385" s="397"/>
      <c r="J385" s="397"/>
      <c r="K385" s="397"/>
      <c r="L385" s="397"/>
      <c r="M385" s="397"/>
      <c r="N385" s="397"/>
      <c r="O385" s="397"/>
      <c r="P385" s="397"/>
      <c r="Q385" s="397"/>
      <c r="R385" s="397"/>
      <c r="S385" s="397"/>
      <c r="T385" s="397"/>
      <c r="U385" s="397"/>
      <c r="V385" s="397"/>
      <c r="W385" s="397"/>
      <c r="X385" s="397"/>
      <c r="Y385" s="397"/>
      <c r="Z385" s="397"/>
      <c r="AA385" s="397"/>
      <c r="AB385" s="397"/>
      <c r="AC385" s="397"/>
      <c r="AD385" s="397"/>
      <c r="AE385" s="397"/>
      <c r="AF385" s="397"/>
      <c r="AG385" s="397"/>
      <c r="AH385" s="397"/>
      <c r="AI385" s="397"/>
      <c r="AJ385" s="397"/>
      <c r="AK385" s="397"/>
      <c r="AL385" s="397"/>
      <c r="AM385" s="397"/>
      <c r="AN385" s="397"/>
      <c r="AO385" s="397"/>
      <c r="AP385" s="397"/>
      <c r="AQ385" s="397"/>
      <c r="AR385" s="397"/>
      <c r="AS385" s="397"/>
      <c r="AT385" s="397"/>
      <c r="AU385" s="397"/>
      <c r="AV385" s="397"/>
      <c r="AW385" s="397"/>
      <c r="AX385" s="397"/>
      <c r="AY385" s="397"/>
      <c r="AZ385" s="397"/>
      <c r="BA385" s="397"/>
      <c r="BB385" s="397"/>
      <c r="BC385" s="397"/>
      <c r="BD385" s="397"/>
      <c r="BE385" s="397"/>
      <c r="BF385" s="397"/>
      <c r="BG385" s="397"/>
      <c r="BH385" s="397"/>
      <c r="BI385" s="397"/>
      <c r="BJ385" s="397"/>
      <c r="BK385" s="397"/>
      <c r="BL385" s="397"/>
      <c r="BM385" s="397"/>
      <c r="BN385" s="397"/>
    </row>
    <row r="386" spans="5:66" ht="14.25">
      <c r="E386" s="397"/>
      <c r="F386" s="397"/>
      <c r="G386" s="397"/>
      <c r="H386" s="397"/>
      <c r="I386" s="397"/>
      <c r="J386" s="397"/>
      <c r="K386" s="397"/>
      <c r="L386" s="397"/>
      <c r="M386" s="397"/>
      <c r="N386" s="397"/>
      <c r="O386" s="397"/>
      <c r="P386" s="397"/>
      <c r="Q386" s="397"/>
      <c r="R386" s="397"/>
      <c r="S386" s="397"/>
      <c r="T386" s="397"/>
      <c r="U386" s="397"/>
      <c r="V386" s="397"/>
      <c r="W386" s="397"/>
      <c r="X386" s="397"/>
      <c r="Y386" s="397"/>
      <c r="Z386" s="397"/>
      <c r="AA386" s="397"/>
      <c r="AB386" s="397"/>
      <c r="AC386" s="397"/>
      <c r="AD386" s="397"/>
      <c r="AE386" s="397"/>
      <c r="AF386" s="397"/>
      <c r="AG386" s="397"/>
      <c r="AH386" s="397"/>
      <c r="AI386" s="397"/>
      <c r="AJ386" s="397"/>
      <c r="AK386" s="397"/>
      <c r="AL386" s="397"/>
      <c r="AM386" s="397"/>
      <c r="AN386" s="397"/>
      <c r="AO386" s="397"/>
      <c r="AP386" s="397"/>
      <c r="AQ386" s="397"/>
      <c r="AR386" s="397"/>
      <c r="AS386" s="397"/>
      <c r="AT386" s="397"/>
      <c r="AU386" s="397"/>
      <c r="AV386" s="397"/>
      <c r="AW386" s="397"/>
      <c r="AX386" s="397"/>
      <c r="AY386" s="397"/>
      <c r="AZ386" s="397"/>
      <c r="BA386" s="397"/>
      <c r="BB386" s="397"/>
      <c r="BC386" s="397"/>
      <c r="BD386" s="397"/>
      <c r="BE386" s="397"/>
      <c r="BF386" s="397"/>
      <c r="BG386" s="397"/>
      <c r="BH386" s="397"/>
      <c r="BI386" s="397"/>
      <c r="BJ386" s="397"/>
      <c r="BK386" s="397"/>
      <c r="BL386" s="397"/>
      <c r="BM386" s="397"/>
      <c r="BN386" s="397"/>
    </row>
    <row r="387" spans="5:66" ht="14.25">
      <c r="E387" s="397"/>
      <c r="F387" s="397"/>
      <c r="G387" s="397"/>
      <c r="H387" s="397"/>
      <c r="I387" s="397"/>
      <c r="J387" s="397"/>
      <c r="K387" s="397"/>
      <c r="L387" s="397"/>
      <c r="M387" s="397"/>
      <c r="N387" s="397"/>
      <c r="O387" s="397"/>
      <c r="P387" s="397"/>
      <c r="Q387" s="397"/>
      <c r="R387" s="397"/>
      <c r="S387" s="397"/>
      <c r="T387" s="397"/>
      <c r="U387" s="397"/>
      <c r="V387" s="397"/>
      <c r="W387" s="397"/>
      <c r="X387" s="397"/>
      <c r="Y387" s="397"/>
      <c r="Z387" s="397"/>
      <c r="AA387" s="397"/>
      <c r="AB387" s="397"/>
      <c r="AC387" s="397"/>
      <c r="AD387" s="397"/>
      <c r="AE387" s="397"/>
      <c r="AF387" s="397"/>
      <c r="AG387" s="397"/>
      <c r="AH387" s="397"/>
      <c r="AI387" s="397"/>
      <c r="AJ387" s="397"/>
      <c r="AK387" s="397"/>
      <c r="AL387" s="397"/>
      <c r="AM387" s="397"/>
      <c r="AN387" s="397"/>
      <c r="AO387" s="397"/>
      <c r="AP387" s="397"/>
      <c r="AQ387" s="397"/>
      <c r="AR387" s="397"/>
      <c r="AS387" s="397"/>
      <c r="AT387" s="397"/>
      <c r="AU387" s="397"/>
      <c r="AV387" s="397"/>
      <c r="AW387" s="397"/>
      <c r="AX387" s="397"/>
      <c r="AY387" s="397"/>
      <c r="AZ387" s="397"/>
      <c r="BA387" s="397"/>
      <c r="BB387" s="397"/>
      <c r="BC387" s="397"/>
      <c r="BD387" s="397"/>
      <c r="BE387" s="397"/>
      <c r="BF387" s="397"/>
      <c r="BG387" s="397"/>
      <c r="BH387" s="397"/>
      <c r="BI387" s="397"/>
      <c r="BJ387" s="397"/>
      <c r="BK387" s="397"/>
      <c r="BL387" s="397"/>
      <c r="BM387" s="397"/>
      <c r="BN387" s="397"/>
    </row>
    <row r="388" spans="5:66" ht="14.25">
      <c r="E388" s="397"/>
      <c r="F388" s="397"/>
      <c r="G388" s="397"/>
      <c r="H388" s="397"/>
      <c r="I388" s="397"/>
      <c r="J388" s="397"/>
      <c r="K388" s="397"/>
      <c r="L388" s="397"/>
      <c r="M388" s="397"/>
      <c r="N388" s="397"/>
      <c r="O388" s="397"/>
      <c r="P388" s="397"/>
      <c r="Q388" s="397"/>
      <c r="R388" s="397"/>
      <c r="S388" s="397"/>
      <c r="T388" s="397"/>
      <c r="U388" s="397"/>
      <c r="V388" s="397"/>
      <c r="W388" s="397"/>
      <c r="X388" s="397"/>
      <c r="Y388" s="397"/>
      <c r="Z388" s="397"/>
      <c r="AA388" s="397"/>
      <c r="AB388" s="397"/>
      <c r="AC388" s="397"/>
      <c r="AD388" s="397"/>
      <c r="AE388" s="397"/>
      <c r="AF388" s="397"/>
      <c r="AG388" s="397"/>
      <c r="AH388" s="397"/>
      <c r="AI388" s="397"/>
      <c r="AJ388" s="397"/>
      <c r="AK388" s="397"/>
      <c r="AL388" s="397"/>
      <c r="AM388" s="397"/>
      <c r="AN388" s="397"/>
      <c r="AO388" s="397"/>
      <c r="AP388" s="397"/>
      <c r="AQ388" s="397"/>
      <c r="AR388" s="397"/>
      <c r="AS388" s="397"/>
      <c r="AT388" s="397"/>
      <c r="AU388" s="397"/>
      <c r="AV388" s="397"/>
      <c r="AW388" s="397"/>
      <c r="AX388" s="397"/>
      <c r="AY388" s="397"/>
      <c r="AZ388" s="397"/>
      <c r="BA388" s="397"/>
      <c r="BB388" s="397"/>
      <c r="BC388" s="397"/>
      <c r="BD388" s="397"/>
      <c r="BE388" s="397"/>
      <c r="BF388" s="397"/>
      <c r="BG388" s="397"/>
      <c r="BH388" s="397"/>
      <c r="BI388" s="397"/>
      <c r="BJ388" s="397"/>
      <c r="BK388" s="397"/>
      <c r="BL388" s="397"/>
      <c r="BM388" s="397"/>
      <c r="BN388" s="397"/>
    </row>
    <row r="389" spans="5:66" ht="14.25">
      <c r="E389" s="397"/>
      <c r="F389" s="397"/>
      <c r="G389" s="397"/>
      <c r="H389" s="397"/>
      <c r="I389" s="397"/>
      <c r="J389" s="397"/>
      <c r="K389" s="397"/>
      <c r="L389" s="397"/>
      <c r="M389" s="397"/>
      <c r="N389" s="397"/>
      <c r="O389" s="397"/>
      <c r="P389" s="397"/>
      <c r="Q389" s="397"/>
      <c r="R389" s="397"/>
      <c r="S389" s="397"/>
      <c r="T389" s="397"/>
      <c r="U389" s="397"/>
      <c r="V389" s="397"/>
      <c r="W389" s="397"/>
      <c r="X389" s="397"/>
      <c r="Y389" s="397"/>
      <c r="Z389" s="397"/>
      <c r="AA389" s="397"/>
      <c r="AB389" s="397"/>
      <c r="AC389" s="397"/>
      <c r="AD389" s="397"/>
      <c r="AE389" s="397"/>
      <c r="AF389" s="397"/>
      <c r="AG389" s="397"/>
      <c r="AH389" s="397"/>
      <c r="AI389" s="397"/>
      <c r="AJ389" s="397"/>
      <c r="AK389" s="397"/>
      <c r="AL389" s="397"/>
      <c r="AM389" s="397"/>
      <c r="AN389" s="397"/>
      <c r="AO389" s="397"/>
      <c r="AP389" s="397"/>
      <c r="AQ389" s="397"/>
      <c r="AR389" s="397"/>
      <c r="AS389" s="397"/>
      <c r="AT389" s="397"/>
      <c r="AU389" s="397"/>
      <c r="AV389" s="397"/>
      <c r="AW389" s="397"/>
      <c r="AX389" s="397"/>
      <c r="AY389" s="397"/>
      <c r="AZ389" s="397"/>
      <c r="BA389" s="397"/>
      <c r="BB389" s="397"/>
      <c r="BC389" s="397"/>
      <c r="BD389" s="397"/>
      <c r="BE389" s="397"/>
      <c r="BF389" s="397"/>
      <c r="BG389" s="397"/>
      <c r="BH389" s="397"/>
      <c r="BI389" s="397"/>
      <c r="BJ389" s="397"/>
      <c r="BK389" s="397"/>
      <c r="BL389" s="397"/>
      <c r="BM389" s="397"/>
      <c r="BN389" s="397"/>
    </row>
    <row r="390" spans="5:66" ht="14.25">
      <c r="E390" s="397"/>
      <c r="F390" s="397"/>
      <c r="G390" s="397"/>
      <c r="H390" s="397"/>
      <c r="I390" s="397"/>
      <c r="J390" s="397"/>
      <c r="K390" s="397"/>
      <c r="L390" s="397"/>
      <c r="M390" s="397"/>
      <c r="N390" s="397"/>
      <c r="O390" s="397"/>
      <c r="P390" s="397"/>
      <c r="Q390" s="397"/>
      <c r="R390" s="397"/>
      <c r="S390" s="397"/>
      <c r="T390" s="397"/>
      <c r="U390" s="397"/>
      <c r="V390" s="397"/>
      <c r="W390" s="397"/>
      <c r="X390" s="397"/>
      <c r="Y390" s="397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/>
      <c r="AJ390" s="397"/>
      <c r="AK390" s="397"/>
      <c r="AL390" s="397"/>
      <c r="AM390" s="397"/>
      <c r="AN390" s="397"/>
      <c r="AO390" s="397"/>
      <c r="AP390" s="397"/>
      <c r="AQ390" s="397"/>
      <c r="AR390" s="397"/>
      <c r="AS390" s="397"/>
      <c r="AT390" s="397"/>
      <c r="AU390" s="397"/>
      <c r="AV390" s="397"/>
      <c r="AW390" s="397"/>
      <c r="AX390" s="397"/>
      <c r="AY390" s="397"/>
      <c r="AZ390" s="397"/>
      <c r="BA390" s="397"/>
      <c r="BB390" s="397"/>
      <c r="BC390" s="397"/>
      <c r="BD390" s="397"/>
      <c r="BE390" s="397"/>
      <c r="BF390" s="397"/>
      <c r="BG390" s="397"/>
      <c r="BH390" s="397"/>
      <c r="BI390" s="397"/>
      <c r="BJ390" s="397"/>
      <c r="BK390" s="397"/>
      <c r="BL390" s="397"/>
      <c r="BM390" s="397"/>
      <c r="BN390" s="397"/>
    </row>
    <row r="391" spans="5:66" ht="14.25">
      <c r="E391" s="397"/>
      <c r="F391" s="397"/>
      <c r="G391" s="397"/>
      <c r="H391" s="397"/>
      <c r="I391" s="397"/>
      <c r="J391" s="397"/>
      <c r="K391" s="397"/>
      <c r="L391" s="397"/>
      <c r="M391" s="397"/>
      <c r="N391" s="397"/>
      <c r="O391" s="397"/>
      <c r="P391" s="397"/>
      <c r="Q391" s="397"/>
      <c r="R391" s="397"/>
      <c r="S391" s="397"/>
      <c r="T391" s="397"/>
      <c r="U391" s="397"/>
      <c r="V391" s="397"/>
      <c r="W391" s="397"/>
      <c r="X391" s="397"/>
      <c r="Y391" s="397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/>
      <c r="AJ391" s="397"/>
      <c r="AK391" s="397"/>
      <c r="AL391" s="397"/>
      <c r="AM391" s="397"/>
      <c r="AN391" s="397"/>
      <c r="AO391" s="397"/>
      <c r="AP391" s="397"/>
      <c r="AQ391" s="397"/>
      <c r="AR391" s="397"/>
      <c r="AS391" s="397"/>
      <c r="AT391" s="397"/>
      <c r="AU391" s="397"/>
      <c r="AV391" s="397"/>
      <c r="AW391" s="397"/>
      <c r="AX391" s="397"/>
      <c r="AY391" s="397"/>
      <c r="AZ391" s="397"/>
      <c r="BA391" s="397"/>
      <c r="BB391" s="397"/>
      <c r="BC391" s="397"/>
      <c r="BD391" s="397"/>
      <c r="BE391" s="397"/>
      <c r="BF391" s="397"/>
      <c r="BG391" s="397"/>
      <c r="BH391" s="397"/>
      <c r="BI391" s="397"/>
      <c r="BJ391" s="397"/>
      <c r="BK391" s="397"/>
      <c r="BL391" s="397"/>
      <c r="BM391" s="397"/>
      <c r="BN391" s="397"/>
    </row>
    <row r="392" spans="5:66" ht="14.25">
      <c r="E392" s="397"/>
      <c r="F392" s="397"/>
      <c r="G392" s="397"/>
      <c r="H392" s="397"/>
      <c r="I392" s="397"/>
      <c r="J392" s="397"/>
      <c r="K392" s="397"/>
      <c r="L392" s="397"/>
      <c r="M392" s="397"/>
      <c r="N392" s="397"/>
      <c r="O392" s="397"/>
      <c r="P392" s="397"/>
      <c r="Q392" s="397"/>
      <c r="R392" s="397"/>
      <c r="S392" s="397"/>
      <c r="T392" s="397"/>
      <c r="U392" s="397"/>
      <c r="V392" s="397"/>
      <c r="W392" s="397"/>
      <c r="X392" s="397"/>
      <c r="Y392" s="397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/>
      <c r="AJ392" s="397"/>
      <c r="AK392" s="397"/>
      <c r="AL392" s="397"/>
      <c r="AM392" s="397"/>
      <c r="AN392" s="397"/>
      <c r="AO392" s="397"/>
      <c r="AP392" s="397"/>
      <c r="AQ392" s="397"/>
      <c r="AR392" s="397"/>
      <c r="AS392" s="397"/>
      <c r="AT392" s="397"/>
      <c r="AU392" s="397"/>
      <c r="AV392" s="397"/>
      <c r="AW392" s="397"/>
      <c r="AX392" s="397"/>
      <c r="AY392" s="397"/>
      <c r="AZ392" s="397"/>
      <c r="BA392" s="397"/>
      <c r="BB392" s="397"/>
      <c r="BC392" s="397"/>
      <c r="BD392" s="397"/>
      <c r="BE392" s="397"/>
      <c r="BF392" s="397"/>
      <c r="BG392" s="397"/>
      <c r="BH392" s="397"/>
      <c r="BI392" s="397"/>
      <c r="BJ392" s="397"/>
      <c r="BK392" s="397"/>
      <c r="BL392" s="397"/>
      <c r="BM392" s="397"/>
      <c r="BN392" s="397"/>
    </row>
    <row r="393" spans="5:66" ht="14.25">
      <c r="E393" s="397"/>
      <c r="F393" s="397"/>
      <c r="G393" s="397"/>
      <c r="H393" s="397"/>
      <c r="I393" s="397"/>
      <c r="J393" s="397"/>
      <c r="K393" s="397"/>
      <c r="L393" s="397"/>
      <c r="M393" s="397"/>
      <c r="N393" s="397"/>
      <c r="O393" s="397"/>
      <c r="P393" s="397"/>
      <c r="Q393" s="397"/>
      <c r="R393" s="397"/>
      <c r="S393" s="397"/>
      <c r="T393" s="397"/>
      <c r="U393" s="397"/>
      <c r="V393" s="397"/>
      <c r="W393" s="397"/>
      <c r="X393" s="397"/>
      <c r="Y393" s="397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/>
      <c r="AJ393" s="397"/>
      <c r="AK393" s="397"/>
      <c r="AL393" s="397"/>
      <c r="AM393" s="397"/>
      <c r="AN393" s="397"/>
      <c r="AO393" s="397"/>
      <c r="AP393" s="397"/>
      <c r="AQ393" s="397"/>
      <c r="AR393" s="397"/>
      <c r="AS393" s="397"/>
      <c r="AT393" s="397"/>
      <c r="AU393" s="397"/>
      <c r="AV393" s="397"/>
      <c r="AW393" s="397"/>
      <c r="AX393" s="397"/>
      <c r="AY393" s="397"/>
      <c r="AZ393" s="397"/>
      <c r="BA393" s="397"/>
      <c r="BB393" s="397"/>
      <c r="BC393" s="397"/>
      <c r="BD393" s="397"/>
      <c r="BE393" s="397"/>
      <c r="BF393" s="397"/>
      <c r="BG393" s="397"/>
      <c r="BH393" s="397"/>
      <c r="BI393" s="397"/>
      <c r="BJ393" s="397"/>
      <c r="BK393" s="397"/>
      <c r="BL393" s="397"/>
      <c r="BM393" s="397"/>
      <c r="BN393" s="397"/>
    </row>
    <row r="394" spans="5:66" ht="14.25">
      <c r="E394" s="397"/>
      <c r="F394" s="397"/>
      <c r="G394" s="397"/>
      <c r="H394" s="397"/>
      <c r="I394" s="397"/>
      <c r="J394" s="397"/>
      <c r="K394" s="397"/>
      <c r="L394" s="397"/>
      <c r="M394" s="397"/>
      <c r="N394" s="397"/>
      <c r="O394" s="397"/>
      <c r="P394" s="397"/>
      <c r="Q394" s="397"/>
      <c r="R394" s="397"/>
      <c r="S394" s="397"/>
      <c r="T394" s="397"/>
      <c r="U394" s="397"/>
      <c r="V394" s="397"/>
      <c r="W394" s="397"/>
      <c r="X394" s="397"/>
      <c r="Y394" s="397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/>
      <c r="AJ394" s="397"/>
      <c r="AK394" s="397"/>
      <c r="AL394" s="397"/>
      <c r="AM394" s="397"/>
      <c r="AN394" s="397"/>
      <c r="AO394" s="397"/>
      <c r="AP394" s="397"/>
      <c r="AQ394" s="397"/>
      <c r="AR394" s="397"/>
      <c r="AS394" s="397"/>
      <c r="AT394" s="397"/>
      <c r="AU394" s="397"/>
      <c r="AV394" s="397"/>
      <c r="AW394" s="397"/>
      <c r="AX394" s="397"/>
      <c r="AY394" s="397"/>
      <c r="AZ394" s="397"/>
      <c r="BA394" s="397"/>
      <c r="BB394" s="397"/>
      <c r="BC394" s="397"/>
      <c r="BD394" s="397"/>
      <c r="BE394" s="397"/>
      <c r="BF394" s="397"/>
      <c r="BG394" s="397"/>
      <c r="BH394" s="397"/>
      <c r="BI394" s="397"/>
      <c r="BJ394" s="397"/>
      <c r="BK394" s="397"/>
      <c r="BL394" s="397"/>
      <c r="BM394" s="397"/>
      <c r="BN394" s="397"/>
    </row>
    <row r="395" spans="5:66" ht="14.25">
      <c r="E395" s="397"/>
      <c r="F395" s="397"/>
      <c r="G395" s="397"/>
      <c r="H395" s="397"/>
      <c r="I395" s="397"/>
      <c r="J395" s="397"/>
      <c r="K395" s="397"/>
      <c r="L395" s="397"/>
      <c r="M395" s="397"/>
      <c r="N395" s="397"/>
      <c r="O395" s="397"/>
      <c r="P395" s="397"/>
      <c r="Q395" s="397"/>
      <c r="R395" s="397"/>
      <c r="S395" s="397"/>
      <c r="T395" s="397"/>
      <c r="U395" s="397"/>
      <c r="V395" s="397"/>
      <c r="W395" s="397"/>
      <c r="X395" s="397"/>
      <c r="Y395" s="397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/>
      <c r="AJ395" s="397"/>
      <c r="AK395" s="397"/>
      <c r="AL395" s="397"/>
      <c r="AM395" s="397"/>
      <c r="AN395" s="397"/>
      <c r="AO395" s="397"/>
      <c r="AP395" s="397"/>
      <c r="AQ395" s="397"/>
      <c r="AR395" s="397"/>
      <c r="AS395" s="397"/>
      <c r="AT395" s="397"/>
      <c r="AU395" s="397"/>
      <c r="AV395" s="397"/>
      <c r="AW395" s="397"/>
      <c r="AX395" s="397"/>
      <c r="AY395" s="397"/>
      <c r="AZ395" s="397"/>
      <c r="BA395" s="397"/>
      <c r="BB395" s="397"/>
      <c r="BC395" s="397"/>
      <c r="BD395" s="397"/>
      <c r="BE395" s="397"/>
      <c r="BF395" s="397"/>
      <c r="BG395" s="397"/>
      <c r="BH395" s="397"/>
      <c r="BI395" s="397"/>
      <c r="BJ395" s="397"/>
      <c r="BK395" s="397"/>
      <c r="BL395" s="397"/>
      <c r="BM395" s="397"/>
      <c r="BN395" s="397"/>
    </row>
    <row r="396" spans="5:66" ht="14.25">
      <c r="E396" s="397"/>
      <c r="F396" s="397"/>
      <c r="G396" s="397"/>
      <c r="H396" s="397"/>
      <c r="I396" s="397"/>
      <c r="J396" s="397"/>
      <c r="K396" s="397"/>
      <c r="L396" s="397"/>
      <c r="M396" s="397"/>
      <c r="N396" s="397"/>
      <c r="O396" s="397"/>
      <c r="P396" s="397"/>
      <c r="Q396" s="397"/>
      <c r="R396" s="397"/>
      <c r="S396" s="397"/>
      <c r="T396" s="397"/>
      <c r="U396" s="397"/>
      <c r="V396" s="397"/>
      <c r="W396" s="397"/>
      <c r="X396" s="397"/>
      <c r="Y396" s="397"/>
      <c r="Z396" s="397"/>
      <c r="AA396" s="397"/>
      <c r="AB396" s="397"/>
      <c r="AC396" s="397"/>
      <c r="AD396" s="397"/>
      <c r="AE396" s="397"/>
      <c r="AF396" s="397"/>
      <c r="AG396" s="397"/>
      <c r="AH396" s="397"/>
      <c r="AI396" s="397"/>
      <c r="AJ396" s="397"/>
      <c r="AK396" s="397"/>
      <c r="AL396" s="397"/>
      <c r="AM396" s="397"/>
      <c r="AN396" s="397"/>
      <c r="AO396" s="397"/>
      <c r="AP396" s="397"/>
      <c r="AQ396" s="397"/>
      <c r="AR396" s="397"/>
      <c r="AS396" s="397"/>
      <c r="AT396" s="397"/>
      <c r="AU396" s="397"/>
      <c r="AV396" s="397"/>
      <c r="AW396" s="397"/>
      <c r="AX396" s="397"/>
      <c r="AY396" s="397"/>
      <c r="AZ396" s="397"/>
      <c r="BA396" s="397"/>
      <c r="BB396" s="397"/>
      <c r="BC396" s="397"/>
      <c r="BD396" s="397"/>
      <c r="BE396" s="397"/>
      <c r="BF396" s="397"/>
      <c r="BG396" s="397"/>
      <c r="BH396" s="397"/>
      <c r="BI396" s="397"/>
      <c r="BJ396" s="397"/>
      <c r="BK396" s="397"/>
      <c r="BL396" s="397"/>
      <c r="BM396" s="397"/>
      <c r="BN396" s="397"/>
    </row>
    <row r="397" spans="5:66" ht="14.25">
      <c r="E397" s="397"/>
      <c r="F397" s="397"/>
      <c r="G397" s="397"/>
      <c r="H397" s="397"/>
      <c r="I397" s="397"/>
      <c r="J397" s="397"/>
      <c r="K397" s="397"/>
      <c r="L397" s="397"/>
      <c r="M397" s="397"/>
      <c r="N397" s="397"/>
      <c r="O397" s="397"/>
      <c r="P397" s="397"/>
      <c r="Q397" s="397"/>
      <c r="R397" s="397"/>
      <c r="S397" s="397"/>
      <c r="T397" s="397"/>
      <c r="U397" s="397"/>
      <c r="V397" s="397"/>
      <c r="W397" s="397"/>
      <c r="X397" s="397"/>
      <c r="Y397" s="397"/>
      <c r="Z397" s="397"/>
      <c r="AA397" s="397"/>
      <c r="AB397" s="397"/>
      <c r="AC397" s="397"/>
      <c r="AD397" s="397"/>
      <c r="AE397" s="397"/>
      <c r="AF397" s="397"/>
      <c r="AG397" s="397"/>
      <c r="AH397" s="397"/>
      <c r="AI397" s="397"/>
      <c r="AJ397" s="397"/>
      <c r="AK397" s="397"/>
      <c r="AL397" s="397"/>
      <c r="AM397" s="397"/>
      <c r="AN397" s="397"/>
      <c r="AO397" s="397"/>
      <c r="AP397" s="397"/>
      <c r="AQ397" s="397"/>
      <c r="AR397" s="397"/>
      <c r="AS397" s="397"/>
      <c r="AT397" s="397"/>
      <c r="AU397" s="397"/>
      <c r="AV397" s="397"/>
      <c r="AW397" s="397"/>
      <c r="AX397" s="397"/>
      <c r="AY397" s="397"/>
      <c r="AZ397" s="397"/>
      <c r="BA397" s="397"/>
      <c r="BB397" s="397"/>
      <c r="BC397" s="397"/>
      <c r="BD397" s="397"/>
      <c r="BE397" s="397"/>
      <c r="BF397" s="397"/>
      <c r="BG397" s="397"/>
      <c r="BH397" s="397"/>
      <c r="BI397" s="397"/>
      <c r="BJ397" s="397"/>
      <c r="BK397" s="397"/>
      <c r="BL397" s="397"/>
      <c r="BM397" s="397"/>
      <c r="BN397" s="397"/>
    </row>
    <row r="398" spans="5:66" ht="14.25">
      <c r="E398" s="397"/>
      <c r="F398" s="397"/>
      <c r="G398" s="397"/>
      <c r="H398" s="397"/>
      <c r="I398" s="397"/>
      <c r="J398" s="397"/>
      <c r="K398" s="397"/>
      <c r="L398" s="397"/>
      <c r="M398" s="397"/>
      <c r="N398" s="397"/>
      <c r="O398" s="397"/>
      <c r="P398" s="397"/>
      <c r="Q398" s="397"/>
      <c r="R398" s="397"/>
      <c r="S398" s="397"/>
      <c r="T398" s="397"/>
      <c r="U398" s="397"/>
      <c r="V398" s="397"/>
      <c r="W398" s="397"/>
      <c r="X398" s="397"/>
      <c r="Y398" s="397"/>
      <c r="Z398" s="397"/>
      <c r="AA398" s="397"/>
      <c r="AB398" s="397"/>
      <c r="AC398" s="397"/>
      <c r="AD398" s="397"/>
      <c r="AE398" s="397"/>
      <c r="AF398" s="397"/>
      <c r="AG398" s="397"/>
      <c r="AH398" s="397"/>
      <c r="AI398" s="397"/>
      <c r="AJ398" s="397"/>
      <c r="AK398" s="397"/>
      <c r="AL398" s="397"/>
      <c r="AM398" s="397"/>
      <c r="AN398" s="397"/>
      <c r="AO398" s="397"/>
      <c r="AP398" s="397"/>
      <c r="AQ398" s="397"/>
      <c r="AR398" s="397"/>
      <c r="AS398" s="397"/>
      <c r="AT398" s="397"/>
      <c r="AU398" s="397"/>
      <c r="AV398" s="397"/>
      <c r="AW398" s="397"/>
      <c r="AX398" s="397"/>
      <c r="AY398" s="397"/>
      <c r="AZ398" s="397"/>
      <c r="BA398" s="397"/>
      <c r="BB398" s="397"/>
      <c r="BC398" s="397"/>
      <c r="BD398" s="397"/>
      <c r="BE398" s="397"/>
      <c r="BF398" s="397"/>
      <c r="BG398" s="397"/>
      <c r="BH398" s="397"/>
      <c r="BI398" s="397"/>
      <c r="BJ398" s="397"/>
      <c r="BK398" s="397"/>
      <c r="BL398" s="397"/>
      <c r="BM398" s="397"/>
      <c r="BN398" s="397"/>
    </row>
  </sheetData>
  <sheetProtection password="DF35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Assets</dc:title>
  <dc:subject/>
  <dc:creator>norm collins</dc:creator>
  <cp:keywords/>
  <dc:description/>
  <cp:lastModifiedBy>Norm</cp:lastModifiedBy>
  <cp:lastPrinted>2009-01-29T00:11:08Z</cp:lastPrinted>
  <dcterms:created xsi:type="dcterms:W3CDTF">2003-09-19T11:16:29Z</dcterms:created>
  <dcterms:modified xsi:type="dcterms:W3CDTF">2009-01-31T14:49:33Z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848370346</vt:i4>
  </property>
  <property fmtid="{D5CDD505-2E9C-101B-9397-08002B2CF9AE}" pid="3" name="_EmailSubject">
    <vt:lpwstr>Sample</vt:lpwstr>
  </property>
  <property fmtid="{D5CDD505-2E9C-101B-9397-08002B2CF9AE}" pid="4" name="_AuthorEmail">
    <vt:lpwstr>ncollins@clarkeinc.com</vt:lpwstr>
  </property>
  <property fmtid="{D5CDD505-2E9C-101B-9397-08002B2CF9AE}" pid="5" name="_AuthorEmailDisplayName">
    <vt:lpwstr>Norm Collins</vt:lpwstr>
  </property>
</Properties>
</file>